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chukoren.sharepoint.com/sites/general/Shared Documents/１.中高連/6.実態調査/2026年度/2_調査票・回答校リスト・エラーメッセージ/5_HP掲載/"/>
    </mc:Choice>
  </mc:AlternateContent>
  <xr:revisionPtr revIDLastSave="31" documentId="13_ncr:1_{A03DBE4B-E94B-42CE-8428-332AC90AE350}" xr6:coauthVersionLast="47" xr6:coauthVersionMax="47" xr10:uidLastSave="{C5D39741-BA15-455B-BB92-21702D781588}"/>
  <bookViews>
    <workbookView xWindow="1695" yWindow="1260" windowWidth="20145" windowHeight="13950" tabRatio="568" activeTab="1" xr2:uid="{00000000-000D-0000-FFFF-FFFF00000000}"/>
  </bookViews>
  <sheets>
    <sheet name="定時制" sheetId="63" r:id="rId1"/>
    <sheet name="通信制" sheetId="69" r:id="rId2"/>
    <sheet name="専攻科" sheetId="70" r:id="rId3"/>
    <sheet name="（後消）専" sheetId="68" state="hidden" r:id="rId4"/>
    <sheet name="(後消)定・通" sheetId="67" state="hidden" r:id="rId5"/>
  </sheets>
  <definedNames>
    <definedName name="_xlnm._FilterDatabase" localSheetId="4" hidden="1">'(後消)定・通'!$A$1:$S$286</definedName>
    <definedName name="_xlnm.Print_Area" localSheetId="2">専攻科!$A$1:$AE$76</definedName>
    <definedName name="_xlnm.Print_Area" localSheetId="1">通信制!$A$1:$AE$233</definedName>
    <definedName name="_xlnm.Print_Area" localSheetId="0">定時制!$A$1:$AE$181</definedName>
    <definedName name="コード">#REF!</definedName>
    <definedName name="コード参照">#REF!</definedName>
    <definedName name="愛知県" localSheetId="2">専攻科!$AH$103</definedName>
    <definedName name="愛知県">通信制!$AH$368:$AH$371</definedName>
    <definedName name="愛媛県" localSheetId="2">専攻科!$AH$120:$AH$121</definedName>
    <definedName name="愛媛県">通信制!$AH$452:$AH$456</definedName>
    <definedName name="茨城県" localSheetId="2">専攻科!$AH$99</definedName>
    <definedName name="茨城県">通信制!$AH$279:$AH$291</definedName>
    <definedName name="岡山県" localSheetId="2">専攻科!$AH$113:$AH$114</definedName>
    <definedName name="岡山県">通信制!$AH$420:$AH$428</definedName>
    <definedName name="沖縄県">通信制!$AH$489:$AH$495</definedName>
    <definedName name="岩手県" localSheetId="2">専攻科!$AH$93:$AH$94</definedName>
    <definedName name="岩手県">通信制!$AH$255:$AH$257</definedName>
    <definedName name="岐阜県">通信制!$AH$353:$AH$358</definedName>
    <definedName name="宮崎県" localSheetId="2">専攻科!$AH$147:$AH$150</definedName>
    <definedName name="宮崎県">通信制!$AH$481:$AH$486</definedName>
    <definedName name="宮城県">通信制!$AH$258:$AH$263</definedName>
    <definedName name="京都府" localSheetId="2">専攻科!$AH$106:$AH$108</definedName>
    <definedName name="京都府">通信制!$AH$385:$AH$394</definedName>
    <definedName name="熊本県" localSheetId="2">専攻科!$AH$137:$AH$140</definedName>
    <definedName name="熊本県">通信制!$AH$475:$AH$476</definedName>
    <definedName name="群馬県">通信制!$AH$293</definedName>
    <definedName name="広島県" localSheetId="2">専攻科!$AH$115</definedName>
    <definedName name="広島県">通信制!$AH$429:$AH$437</definedName>
    <definedName name="香川県" localSheetId="2">専攻科!$AH$118:$AH$119</definedName>
    <definedName name="香川県">通信制!$AH$447:$AH$451</definedName>
    <definedName name="高知県" localSheetId="2">専攻科!$AH$122</definedName>
    <definedName name="高知県" localSheetId="0">定時制!$AH$560</definedName>
    <definedName name="高知県">通信制!$AH$457</definedName>
    <definedName name="佐賀県" localSheetId="2">専攻科!$AH$133</definedName>
    <definedName name="佐賀県">通信制!$AH$470</definedName>
    <definedName name="埼玉県">通信制!$AH$294:$AH$306</definedName>
    <definedName name="三重県" localSheetId="2">専攻科!$AH$104</definedName>
    <definedName name="三重県">通信制!$AH$372:$AH$380</definedName>
    <definedName name="山形県" localSheetId="2">専攻科!$AH$95</definedName>
    <definedName name="山形県">通信制!$AH$266:$AH$268</definedName>
    <definedName name="山口県" localSheetId="2">専攻科!$AH$116:$AH$117</definedName>
    <definedName name="山口県">通信制!$AH$438:$AH$444</definedName>
    <definedName name="山梨県">通信制!$AH$332:$AH$338</definedName>
    <definedName name="滋賀県" localSheetId="2">専攻科!$AH$105</definedName>
    <definedName name="滋賀県" localSheetId="0">定時制!$AH$558</definedName>
    <definedName name="滋賀県">通信制!$AH$381:$AH$384</definedName>
    <definedName name="鹿児島県" localSheetId="2">専攻科!$AH$151:$AH$156</definedName>
    <definedName name="鹿児島県">通信制!$AH$487:$AH$488</definedName>
    <definedName name="秋田県">通信制!$AH$264:$AH$265</definedName>
    <definedName name="新潟県" localSheetId="2">専攻科!$AH$98</definedName>
    <definedName name="新潟県">通信制!$AH$272:$AH$278</definedName>
    <definedName name="神奈川県">通信制!$AH$317:$AH$320</definedName>
    <definedName name="青森県" localSheetId="2">専攻科!$AH$91:$AH$92</definedName>
    <definedName name="青森県">通信制!$AH$250:$AH$254</definedName>
    <definedName name="静岡県" localSheetId="2">専攻科!$AH$102</definedName>
    <definedName name="静岡県">通信制!$AH$359:$AH$367</definedName>
    <definedName name="千葉県">通信制!$AH$307:$AH$316</definedName>
    <definedName name="大阪府" localSheetId="2">専攻科!$AH$109:$AH$110</definedName>
    <definedName name="大阪府">通信制!$AH$395:$AH$407</definedName>
    <definedName name="大分県" localSheetId="2">専攻科!$AH$141:$AH$146</definedName>
    <definedName name="大分県">通信制!$AH$477:$AH$480</definedName>
    <definedName name="長崎県" localSheetId="2">専攻科!$AH$134:$AH$136</definedName>
    <definedName name="長崎県">通信制!$AH$471:$AH$474</definedName>
    <definedName name="長野県">通信制!$AH$339:$AH$352</definedName>
    <definedName name="鳥取県" localSheetId="2">専攻科!$AH$112</definedName>
    <definedName name="鳥取県">通信制!$AH$417</definedName>
    <definedName name="島根県">通信制!$AH$418:$AH$419</definedName>
    <definedName name="東京都" localSheetId="2">専攻科!$AH$100</definedName>
    <definedName name="東京都" localSheetId="0">定時制!$AH$554:$AH$556</definedName>
    <definedName name="東京都">通信制!$AH$321:$AH$328</definedName>
    <definedName name="徳島県">通信制!$AH$445:$AH$446</definedName>
    <definedName name="栃木県">通信制!$AH$292</definedName>
    <definedName name="奈良県" localSheetId="2">専攻科!$AH$111</definedName>
    <definedName name="奈良県" localSheetId="0">定時制!$AH$559</definedName>
    <definedName name="奈良県">通信制!$AH$409:$AH$412</definedName>
    <definedName name="富山県">通信制!$AH$329</definedName>
    <definedName name="福井県" localSheetId="2">専攻科!$AH$101</definedName>
    <definedName name="福井県" localSheetId="0">定時制!$AH$557</definedName>
    <definedName name="福井県">通信制!$AH$330:$AH$331</definedName>
    <definedName name="福岡県" localSheetId="2">専攻科!$AH$123:$AH$132</definedName>
    <definedName name="福岡県">通信制!$AH$458:$AH$469</definedName>
    <definedName name="福島県" localSheetId="2">専攻科!$AH$96:$AH$97</definedName>
    <definedName name="福島県">通信制!$AH$269:$AH$271</definedName>
    <definedName name="兵庫県">通信制!$AH$408</definedName>
    <definedName name="北海道" localSheetId="0">定時制!$AH$553</definedName>
    <definedName name="北海道">通信制!$AH$241:$AH$249</definedName>
    <definedName name="和歌山県">通信制!$AH$413:$AH$416</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56" i="63" l="1"/>
  <c r="AF106" i="69"/>
  <c r="AF15" i="70"/>
  <c r="AA39" i="70"/>
  <c r="AI156" i="70"/>
  <c r="AI155" i="70"/>
  <c r="AI154" i="70"/>
  <c r="AI153" i="70"/>
  <c r="AI152" i="70"/>
  <c r="AI151" i="70"/>
  <c r="AI150" i="70"/>
  <c r="AI149" i="70"/>
  <c r="AI148" i="70"/>
  <c r="AI147" i="70"/>
  <c r="AI146" i="70"/>
  <c r="AI145" i="70"/>
  <c r="AI144" i="70"/>
  <c r="AI143" i="70"/>
  <c r="AI142" i="70"/>
  <c r="AI141" i="70"/>
  <c r="AI140" i="70"/>
  <c r="AI139" i="70"/>
  <c r="AI138" i="70"/>
  <c r="AI137" i="70"/>
  <c r="AI136" i="70"/>
  <c r="AI135" i="70"/>
  <c r="AI134" i="70"/>
  <c r="AI133" i="70"/>
  <c r="AI132" i="70"/>
  <c r="AI131" i="70"/>
  <c r="AI130" i="70"/>
  <c r="AI129" i="70"/>
  <c r="AI128" i="70"/>
  <c r="AI127" i="70"/>
  <c r="AI126" i="70"/>
  <c r="AI125" i="70"/>
  <c r="AI124" i="70"/>
  <c r="AI123" i="70"/>
  <c r="AI122" i="70"/>
  <c r="AI121" i="70"/>
  <c r="AI120" i="70"/>
  <c r="AI119" i="70"/>
  <c r="AI118" i="70"/>
  <c r="AI117" i="70"/>
  <c r="AI116" i="70"/>
  <c r="AI115" i="70"/>
  <c r="AI114" i="70"/>
  <c r="AI113" i="70"/>
  <c r="AI112" i="70"/>
  <c r="AI111" i="70"/>
  <c r="AI110" i="70"/>
  <c r="AI109" i="70"/>
  <c r="AI108" i="70"/>
  <c r="AI107" i="70"/>
  <c r="AI106" i="70"/>
  <c r="AI105" i="70"/>
  <c r="AI104" i="70"/>
  <c r="AI103" i="70"/>
  <c r="AI102" i="70"/>
  <c r="AI101" i="70"/>
  <c r="AI100" i="70"/>
  <c r="AI99" i="70"/>
  <c r="AI98" i="70"/>
  <c r="AI97" i="70"/>
  <c r="AI96" i="70"/>
  <c r="AI95" i="70"/>
  <c r="AI94" i="70"/>
  <c r="AI93" i="70"/>
  <c r="AI92" i="70"/>
  <c r="AI91" i="70"/>
  <c r="AI75" i="70"/>
  <c r="V75" i="70"/>
  <c r="AJ75" i="70" s="1"/>
  <c r="Q75" i="70"/>
  <c r="L75" i="70"/>
  <c r="AH75" i="70" s="1"/>
  <c r="G75" i="70"/>
  <c r="AG75" i="70" s="1"/>
  <c r="AJ73" i="70"/>
  <c r="AI73" i="70"/>
  <c r="AH73" i="70"/>
  <c r="AG73" i="70"/>
  <c r="AF73" i="70"/>
  <c r="AG72" i="70"/>
  <c r="V72" i="70"/>
  <c r="AJ72" i="70" s="1"/>
  <c r="Q72" i="70"/>
  <c r="AI72" i="70" s="1"/>
  <c r="L72" i="70"/>
  <c r="M61" i="70" s="1"/>
  <c r="G72" i="70"/>
  <c r="AJ70" i="70"/>
  <c r="AI70" i="70"/>
  <c r="AH70" i="70"/>
  <c r="AF70" i="70" s="1"/>
  <c r="AG70" i="70"/>
  <c r="AI69" i="70"/>
  <c r="AG69" i="70"/>
  <c r="V69" i="70"/>
  <c r="AJ69" i="70" s="1"/>
  <c r="Q69" i="70"/>
  <c r="L69" i="70"/>
  <c r="AH69" i="70" s="1"/>
  <c r="G69" i="70"/>
  <c r="AJ63" i="70"/>
  <c r="AI63" i="70"/>
  <c r="AH63" i="70"/>
  <c r="AG63" i="70"/>
  <c r="AF63" i="70"/>
  <c r="AJ62" i="70"/>
  <c r="AI62" i="70"/>
  <c r="AH62" i="70"/>
  <c r="AG62" i="70"/>
  <c r="AF62" i="70" s="1"/>
  <c r="AF61" i="70"/>
  <c r="R61" i="70"/>
  <c r="H61" i="70"/>
  <c r="D56" i="70"/>
  <c r="AF56" i="70" s="1"/>
  <c r="AF55" i="70"/>
  <c r="D55" i="70"/>
  <c r="D54" i="70"/>
  <c r="D53" i="70" s="1"/>
  <c r="V53" i="70"/>
  <c r="Q53" i="70"/>
  <c r="L53" i="70"/>
  <c r="M52" i="70" s="1"/>
  <c r="G53" i="70"/>
  <c r="H52" i="70" s="1"/>
  <c r="AK52" i="70"/>
  <c r="AJ52" i="70"/>
  <c r="AI52" i="70"/>
  <c r="AH52" i="70"/>
  <c r="AF52" i="70" s="1"/>
  <c r="W52" i="70"/>
  <c r="R52" i="70"/>
  <c r="AK46" i="70"/>
  <c r="AJ46" i="70"/>
  <c r="AI46" i="70"/>
  <c r="AH46" i="70"/>
  <c r="AF46" i="70"/>
  <c r="AZ40" i="70"/>
  <c r="AY40" i="70"/>
  <c r="AX40" i="70"/>
  <c r="AW40" i="70"/>
  <c r="AG40" i="70" s="1" a="1"/>
  <c r="AG40" i="70" s="1"/>
  <c r="AF40" i="70" s="1"/>
  <c r="AA40" i="70"/>
  <c r="BB39" i="70" s="1"/>
  <c r="BA39" i="70"/>
  <c r="AZ39" i="70"/>
  <c r="AY39" i="70"/>
  <c r="AX39" i="70"/>
  <c r="AW39" i="70"/>
  <c r="AV39" i="70"/>
  <c r="AU39" i="70"/>
  <c r="AT39" i="70"/>
  <c r="AS39" i="70"/>
  <c r="AR39" i="70"/>
  <c r="AQ39" i="70"/>
  <c r="AP39" i="70"/>
  <c r="AO39" i="70"/>
  <c r="AN39" i="70"/>
  <c r="AM39" i="70"/>
  <c r="AL39" i="70"/>
  <c r="AK39" i="70"/>
  <c r="AJ39" i="70"/>
  <c r="AI39" i="70"/>
  <c r="AH39" i="70"/>
  <c r="AZ38" i="70"/>
  <c r="AG38" i="70" s="1" a="1"/>
  <c r="AG38" i="70" s="1"/>
  <c r="AF38" i="70" s="1"/>
  <c r="AY38" i="70"/>
  <c r="AX38" i="70"/>
  <c r="AW38" i="70"/>
  <c r="AA38" i="70"/>
  <c r="BB37" i="70"/>
  <c r="AZ37" i="70"/>
  <c r="AY37" i="70"/>
  <c r="AX37" i="70"/>
  <c r="AW37" i="70"/>
  <c r="AV37" i="70"/>
  <c r="AU37" i="70"/>
  <c r="AT37" i="70"/>
  <c r="AS37" i="70"/>
  <c r="AR37" i="70"/>
  <c r="AQ37" i="70"/>
  <c r="AP37" i="70"/>
  <c r="AO37" i="70"/>
  <c r="AN37" i="70"/>
  <c r="AM37" i="70"/>
  <c r="AL37" i="70"/>
  <c r="AK37" i="70"/>
  <c r="AJ37" i="70"/>
  <c r="AI37" i="70"/>
  <c r="AH37" i="70"/>
  <c r="AA37" i="70"/>
  <c r="BA37" i="70" s="1"/>
  <c r="AZ36" i="70"/>
  <c r="AY36" i="70"/>
  <c r="AX36" i="70"/>
  <c r="AW36" i="70"/>
  <c r="AG36" i="70" a="1"/>
  <c r="AG36" i="70" s="1"/>
  <c r="AF36" i="70" s="1"/>
  <c r="AA36" i="70"/>
  <c r="BB35" i="70" s="1"/>
  <c r="BA35" i="70"/>
  <c r="AV35" i="70"/>
  <c r="AU35" i="70"/>
  <c r="AT35" i="70"/>
  <c r="AS35" i="70"/>
  <c r="AR35" i="70"/>
  <c r="AQ35" i="70"/>
  <c r="AP35" i="70"/>
  <c r="AO35" i="70"/>
  <c r="AN35" i="70"/>
  <c r="AM35" i="70"/>
  <c r="AL35" i="70"/>
  <c r="AK35" i="70"/>
  <c r="AJ35" i="70"/>
  <c r="AI35" i="70"/>
  <c r="AH35" i="70"/>
  <c r="AG35" i="70" s="1" a="1"/>
  <c r="AG35" i="70" s="1"/>
  <c r="AF35" i="70" s="1"/>
  <c r="AA35" i="70"/>
  <c r="AZ34" i="70"/>
  <c r="AY34" i="70"/>
  <c r="AX34" i="70"/>
  <c r="AW34" i="70"/>
  <c r="AG34" i="70" s="1" a="1"/>
  <c r="AG34" i="70" s="1"/>
  <c r="AF34" i="70" s="1"/>
  <c r="AA34" i="70"/>
  <c r="AF53" i="70" s="1"/>
  <c r="BB33" i="70"/>
  <c r="AV33" i="70"/>
  <c r="AU33" i="70"/>
  <c r="AT33" i="70"/>
  <c r="AS33" i="70"/>
  <c r="AR33" i="70"/>
  <c r="AQ33" i="70"/>
  <c r="AP33" i="70"/>
  <c r="AO33" i="70"/>
  <c r="AN33" i="70"/>
  <c r="AM33" i="70"/>
  <c r="AL33" i="70"/>
  <c r="AK33" i="70"/>
  <c r="AJ33" i="70"/>
  <c r="AI33" i="70"/>
  <c r="AH33" i="70"/>
  <c r="AG33" i="70" s="1" a="1"/>
  <c r="AG33" i="70" s="1"/>
  <c r="AF33" i="70" s="1"/>
  <c r="AA33" i="70"/>
  <c r="BA33" i="70" s="1"/>
  <c r="AJ26" i="70"/>
  <c r="AI26" i="70"/>
  <c r="AH26" i="70"/>
  <c r="T26" i="70"/>
  <c r="AF25" i="70"/>
  <c r="AF14" i="70"/>
  <c r="AF13" i="70"/>
  <c r="AF9" i="70"/>
  <c r="V9" i="70"/>
  <c r="AF8" i="70"/>
  <c r="AF219" i="69"/>
  <c r="AF206" i="69"/>
  <c r="AF199" i="69"/>
  <c r="Z199" i="69"/>
  <c r="R182" i="69"/>
  <c r="R178" i="69"/>
  <c r="N178" i="69"/>
  <c r="R175" i="69"/>
  <c r="R174" i="69"/>
  <c r="R188" i="69" s="1"/>
  <c r="R166" i="69"/>
  <c r="R187" i="69" s="1"/>
  <c r="Q153" i="69"/>
  <c r="O151" i="69"/>
  <c r="G151" i="69"/>
  <c r="I153" i="69" s="1"/>
  <c r="AF145" i="69"/>
  <c r="AF144" i="69"/>
  <c r="W130" i="69"/>
  <c r="S130" i="69"/>
  <c r="O130" i="69"/>
  <c r="K130" i="69"/>
  <c r="G130" i="69"/>
  <c r="W127" i="69"/>
  <c r="S127" i="69"/>
  <c r="O127" i="69"/>
  <c r="K127" i="69"/>
  <c r="G127" i="69"/>
  <c r="W124" i="69"/>
  <c r="S124" i="69"/>
  <c r="O124" i="69"/>
  <c r="K124" i="69"/>
  <c r="G124" i="69"/>
  <c r="W121" i="69"/>
  <c r="S121" i="69"/>
  <c r="O121" i="69"/>
  <c r="K121" i="69"/>
  <c r="G121" i="69"/>
  <c r="AF130" i="69" s="1"/>
  <c r="AF119" i="69"/>
  <c r="AJ113" i="69"/>
  <c r="AI113" i="69"/>
  <c r="AH113" i="69"/>
  <c r="U106" i="69"/>
  <c r="AF79" i="69"/>
  <c r="AG71" i="69"/>
  <c r="W71" i="69"/>
  <c r="L71" i="69"/>
  <c r="AG69" i="69"/>
  <c r="W69" i="69"/>
  <c r="L69" i="69"/>
  <c r="AG67" i="69"/>
  <c r="W67" i="69"/>
  <c r="L67" i="69"/>
  <c r="AG65" i="69"/>
  <c r="W65" i="69"/>
  <c r="AK113" i="69" s="1"/>
  <c r="L65" i="69"/>
  <c r="AG63" i="69"/>
  <c r="W63" i="69"/>
  <c r="L63" i="69"/>
  <c r="AG61" i="69"/>
  <c r="W61" i="69"/>
  <c r="L61" i="69"/>
  <c r="AG59" i="69"/>
  <c r="W59" i="69"/>
  <c r="L59" i="69"/>
  <c r="AG57" i="69"/>
  <c r="W57" i="69"/>
  <c r="AG113" i="69" s="1"/>
  <c r="AF113" i="69" s="1"/>
  <c r="L57" i="69"/>
  <c r="U55" i="69"/>
  <c r="S55" i="69"/>
  <c r="Q55" i="69"/>
  <c r="O55" i="69"/>
  <c r="W55" i="69" s="1"/>
  <c r="R190" i="69" s="1"/>
  <c r="J55" i="69"/>
  <c r="H55" i="69"/>
  <c r="F55" i="69"/>
  <c r="D55" i="69"/>
  <c r="L55" i="69" s="1"/>
  <c r="AF114" i="69" s="1"/>
  <c r="AF43" i="69"/>
  <c r="AF41" i="69"/>
  <c r="AF40" i="69"/>
  <c r="AF37" i="69"/>
  <c r="AF18" i="69"/>
  <c r="AF17" i="69"/>
  <c r="AF16" i="69"/>
  <c r="AB11" i="69"/>
  <c r="AF9" i="69"/>
  <c r="AF8" i="69" s="1"/>
  <c r="Z9" i="69"/>
  <c r="E44" i="69" s="1"/>
  <c r="AF39" i="69" s="1"/>
  <c r="V9" i="69"/>
  <c r="B21" i="69" s="1"/>
  <c r="B22" i="69" s="1"/>
  <c r="AF34" i="69" l="1"/>
  <c r="AG39" i="70" a="1"/>
  <c r="AG39" i="70" s="1"/>
  <c r="AF39" i="70" s="1"/>
  <c r="AF69" i="70"/>
  <c r="AF75" i="70"/>
  <c r="AG26" i="70" a="1"/>
  <c r="AG26" i="70" s="1"/>
  <c r="AF26" i="70" s="1"/>
  <c r="AG37" i="70" a="1"/>
  <c r="AG37" i="70" s="1"/>
  <c r="AF37" i="70" s="1"/>
  <c r="AF54" i="70"/>
  <c r="W61" i="70"/>
  <c r="AH72" i="70"/>
  <c r="AF72" i="70" s="1"/>
  <c r="AD32" i="70"/>
  <c r="AK26" i="70" s="1"/>
  <c r="R183" i="69"/>
  <c r="R185" i="69" s="1"/>
  <c r="AF26" i="69"/>
  <c r="AF27" i="69"/>
  <c r="AF29" i="69"/>
  <c r="AG48" i="69"/>
  <c r="AF184" i="69" l="1"/>
  <c r="AF180" i="69"/>
  <c r="AF177" i="69"/>
  <c r="AF174" i="69"/>
  <c r="AF171" i="69"/>
  <c r="AF167" i="69"/>
  <c r="AF164" i="69"/>
  <c r="AF160" i="69"/>
  <c r="AF146" i="69"/>
  <c r="AF138" i="69"/>
  <c r="AF69" i="69"/>
  <c r="AF66" i="69"/>
  <c r="AF61" i="69"/>
  <c r="AF58" i="69"/>
  <c r="AF51" i="69"/>
  <c r="AF179" i="69"/>
  <c r="AF176" i="69"/>
  <c r="AF170" i="69"/>
  <c r="AF166" i="69"/>
  <c r="AF163" i="69"/>
  <c r="AF154" i="69"/>
  <c r="AF151" i="69"/>
  <c r="AF72" i="69"/>
  <c r="AF67" i="69"/>
  <c r="AF64" i="69"/>
  <c r="AF59" i="69"/>
  <c r="AF55" i="69"/>
  <c r="AF175" i="69"/>
  <c r="AF173" i="69"/>
  <c r="AF169" i="69"/>
  <c r="AF162" i="69"/>
  <c r="AF153" i="69"/>
  <c r="AF70" i="69"/>
  <c r="AF65" i="69"/>
  <c r="AF62" i="69"/>
  <c r="AF57" i="69"/>
  <c r="AF190" i="69"/>
  <c r="AF181" i="69"/>
  <c r="AF172" i="69"/>
  <c r="AF168" i="69"/>
  <c r="AF165" i="69"/>
  <c r="AF161" i="69"/>
  <c r="AF143" i="69"/>
  <c r="AF71" i="69"/>
  <c r="AF68" i="69"/>
  <c r="AF63" i="69"/>
  <c r="AF60" i="69"/>
  <c r="W88" i="63" l="1"/>
  <c r="S88" i="63"/>
  <c r="O88" i="63"/>
  <c r="K88" i="63"/>
  <c r="G88" i="63"/>
  <c r="X52" i="63"/>
  <c r="V52" i="63"/>
  <c r="T52" i="63"/>
  <c r="R52" i="63"/>
  <c r="X51" i="63"/>
  <c r="V51" i="63"/>
  <c r="T51" i="63"/>
  <c r="R51" i="63"/>
  <c r="M51" i="63"/>
  <c r="J51" i="63"/>
  <c r="G51" i="63"/>
  <c r="D51" i="63"/>
  <c r="Z71" i="63" l="1"/>
  <c r="AG63" i="63"/>
  <c r="AG61" i="63"/>
  <c r="AG59" i="63"/>
  <c r="AG57" i="63"/>
  <c r="AG55" i="63"/>
  <c r="AG53" i="63"/>
  <c r="V41" i="63"/>
  <c r="AB11" i="63"/>
  <c r="Z9" i="63"/>
  <c r="V9" i="63"/>
  <c r="AF88" i="63" l="1"/>
  <c r="AF9" i="63"/>
  <c r="AG9" i="63"/>
  <c r="AG169" i="63"/>
  <c r="Z52" i="63"/>
  <c r="AG38" i="63"/>
  <c r="AF42" i="63" s="1"/>
  <c r="AF8" i="63"/>
  <c r="AF178" i="63"/>
  <c r="AF169" i="63"/>
  <c r="AF81" i="63" l="1"/>
  <c r="AF95" i="63"/>
  <c r="AF82" i="63"/>
  <c r="AF63" i="63"/>
  <c r="AF89" i="63"/>
  <c r="AF55" i="63"/>
  <c r="AF48" i="63"/>
  <c r="AF64" i="63"/>
  <c r="AF56" i="63"/>
  <c r="AF62" i="63"/>
  <c r="AF53" i="63"/>
  <c r="AF54" i="63"/>
  <c r="AF57" i="63"/>
  <c r="AF58" i="63"/>
  <c r="AF59" i="63"/>
  <c r="AF60" i="63"/>
  <c r="AF79" i="63"/>
  <c r="AF92" i="63"/>
  <c r="AF61" i="63"/>
  <c r="AF146" i="63"/>
  <c r="AF147" i="63"/>
  <c r="AF115" i="63"/>
  <c r="AF127" i="63"/>
  <c r="AF131" i="63"/>
  <c r="AF136" i="63"/>
  <c r="AF142" i="63"/>
  <c r="AF105" i="63"/>
  <c r="AF116" i="63"/>
  <c r="AF128" i="63"/>
  <c r="AF133" i="63"/>
  <c r="AF137" i="63"/>
  <c r="AF143" i="63"/>
  <c r="AF150" i="63"/>
  <c r="AF113" i="63"/>
  <c r="AF117" i="63"/>
  <c r="AF129" i="63"/>
  <c r="AF134" i="63"/>
  <c r="AF138" i="63"/>
  <c r="AF145" i="63"/>
  <c r="AF114" i="63"/>
  <c r="AF126" i="63"/>
  <c r="AF130" i="63"/>
  <c r="AF135" i="63"/>
  <c r="AF139" i="63"/>
  <c r="AF34" i="63" l="1"/>
  <c r="AF29" i="63"/>
  <c r="AF27" i="63"/>
  <c r="AF26" i="63"/>
  <c r="AF18" i="63"/>
  <c r="AF17" i="63"/>
  <c r="AF16" i="63"/>
  <c r="B21" i="63" l="1"/>
  <c r="B22" i="63" s="1"/>
  <c r="Q118" i="63" l="1"/>
  <c r="Q120" i="63" s="1"/>
  <c r="AF121" i="63" s="1"/>
  <c r="I118" i="63"/>
  <c r="AF118" i="63" l="1"/>
  <c r="I120" i="63"/>
  <c r="AF120" i="63" s="1"/>
  <c r="R148" i="63"/>
  <c r="R144" i="63"/>
  <c r="R140" i="63"/>
  <c r="R132" i="63"/>
  <c r="W97" i="63"/>
  <c r="S97" i="63"/>
  <c r="O97" i="63"/>
  <c r="K97" i="63"/>
  <c r="G97" i="63"/>
  <c r="W94" i="63"/>
  <c r="S94" i="63"/>
  <c r="O94" i="63"/>
  <c r="K94" i="63"/>
  <c r="G94" i="63"/>
  <c r="AF94" i="63" s="1"/>
  <c r="W91" i="63"/>
  <c r="S91" i="63"/>
  <c r="O91" i="63"/>
  <c r="K91" i="63"/>
  <c r="G91" i="63"/>
  <c r="AF91" i="63" s="1"/>
  <c r="Z64" i="63"/>
  <c r="Z63" i="63"/>
  <c r="Z62" i="63"/>
  <c r="Z61" i="63"/>
  <c r="Z60" i="63"/>
  <c r="Z59" i="63"/>
  <c r="Z58" i="63"/>
  <c r="Z57" i="63"/>
  <c r="Z56" i="63"/>
  <c r="Z55" i="63"/>
  <c r="Z54" i="63"/>
  <c r="Z53" i="63"/>
  <c r="W71" i="63"/>
  <c r="S71" i="63"/>
  <c r="O71" i="63"/>
  <c r="K71" i="63"/>
  <c r="G71" i="63"/>
  <c r="AF69" i="63" l="1"/>
  <c r="AF46" i="63"/>
  <c r="AF97" i="63"/>
  <c r="AF71" i="63"/>
  <c r="R154" i="63"/>
  <c r="AF140" i="63"/>
  <c r="R153" i="63"/>
  <c r="AF132" i="63"/>
  <c r="Z51" i="63"/>
  <c r="AF51" i="63" s="1"/>
  <c r="R141" i="63"/>
  <c r="AF141" i="63" s="1"/>
  <c r="AF156" i="63" l="1"/>
  <c r="AF52" i="63"/>
  <c r="R149" i="63"/>
  <c r="R151" i="63" s="1"/>
  <c r="V169" i="63" l="1"/>
  <c r="D75" i="63" l="1"/>
  <c r="AF75" i="63" s="1"/>
  <c r="D74" i="63"/>
  <c r="AF74" i="63" s="1"/>
  <c r="D73" i="63"/>
  <c r="AF73" i="63" s="1"/>
  <c r="D72" i="63"/>
  <c r="AF72" i="63" s="1"/>
  <c r="A15" i="68" l="1"/>
  <c r="Q284" i="67" l="1"/>
  <c r="Q283" i="67"/>
  <c r="Q282" i="67"/>
  <c r="Q281" i="67"/>
  <c r="Q280" i="67"/>
  <c r="Q277" i="67"/>
  <c r="Q270" i="67"/>
  <c r="Q265" i="67"/>
  <c r="Q264" i="67"/>
  <c r="Q262" i="67"/>
  <c r="Q257" i="67"/>
  <c r="Q255" i="67"/>
  <c r="Q247" i="67"/>
  <c r="Q246" i="67"/>
  <c r="Q245" i="67"/>
  <c r="Q244" i="67"/>
  <c r="Q242" i="67"/>
  <c r="Q241" i="67"/>
  <c r="Q240" i="67"/>
  <c r="Q238" i="67"/>
  <c r="Q237" i="67"/>
  <c r="Q232" i="67"/>
  <c r="Q231" i="67"/>
  <c r="Q230" i="67"/>
  <c r="Q229" i="67"/>
  <c r="Q223" i="67"/>
  <c r="Q221" i="67"/>
  <c r="Q220" i="67"/>
  <c r="Q214" i="67"/>
  <c r="Q209" i="67"/>
  <c r="Q208" i="67"/>
  <c r="Q207" i="67"/>
  <c r="Q203" i="67"/>
  <c r="Q202" i="67"/>
  <c r="Q201" i="67"/>
  <c r="Q200" i="67"/>
  <c r="Q199" i="67"/>
  <c r="Q198" i="67"/>
  <c r="Q197" i="67"/>
  <c r="Q196" i="67"/>
  <c r="Q195" i="67"/>
  <c r="Q194" i="67"/>
  <c r="Q192" i="67"/>
  <c r="Q191" i="67"/>
  <c r="Q190" i="67"/>
  <c r="Q189" i="67"/>
  <c r="Q183" i="67"/>
  <c r="Q182" i="67"/>
  <c r="Q180" i="67"/>
  <c r="Q179" i="67"/>
  <c r="Q177" i="67"/>
  <c r="Q176" i="67"/>
  <c r="Q175" i="67"/>
  <c r="Q174" i="67"/>
  <c r="Q173" i="67"/>
  <c r="Q163" i="67"/>
  <c r="Q162" i="67"/>
  <c r="Q159" i="67"/>
  <c r="Q158" i="67"/>
  <c r="Q157" i="67"/>
  <c r="Q156" i="67"/>
  <c r="Q155" i="67"/>
  <c r="Q153" i="67"/>
  <c r="Q151" i="67"/>
  <c r="Q148" i="67"/>
  <c r="Q147" i="67"/>
  <c r="Q146" i="67"/>
  <c r="Q145" i="67"/>
  <c r="Q144" i="67"/>
  <c r="Q142" i="67"/>
  <c r="Q141" i="67"/>
  <c r="Q128" i="67"/>
  <c r="Q126" i="67"/>
  <c r="Q122" i="67"/>
  <c r="Q108" i="67"/>
  <c r="Q95" i="67"/>
  <c r="Q89" i="67"/>
  <c r="Q87" i="67"/>
  <c r="Q86" i="67"/>
  <c r="Q80" i="67"/>
  <c r="Q78" i="67"/>
  <c r="Q77" i="67"/>
  <c r="Q75" i="67"/>
  <c r="Q74" i="67"/>
  <c r="Q72" i="67"/>
  <c r="Q71" i="67"/>
  <c r="Q70" i="67"/>
  <c r="Q69" i="67"/>
  <c r="Q68" i="67"/>
  <c r="Q62" i="67"/>
  <c r="Q61" i="67"/>
  <c r="Q60" i="67"/>
  <c r="Q59" i="67"/>
  <c r="Q58" i="67"/>
  <c r="Q57" i="67"/>
  <c r="Q56" i="67"/>
  <c r="Q55" i="67"/>
  <c r="Q54" i="67"/>
  <c r="Q49" i="67"/>
  <c r="Q48" i="67"/>
  <c r="Q47" i="67"/>
  <c r="Q46" i="67"/>
  <c r="Q45" i="67"/>
  <c r="Q43" i="67"/>
  <c r="Q42" i="67"/>
  <c r="Q41" i="67"/>
  <c r="Q39" i="67"/>
  <c r="Q35" i="67"/>
  <c r="Q34" i="67"/>
  <c r="Q33" i="67"/>
  <c r="Q27" i="67"/>
  <c r="Q23" i="67"/>
  <c r="Q11" i="67"/>
  <c r="Q8" i="67"/>
  <c r="Q7" i="67"/>
  <c r="Q6" i="67"/>
  <c r="Q5" i="67"/>
  <c r="N144" i="63" l="1"/>
  <c r="Z70" i="63"/>
  <c r="W70" i="63"/>
  <c r="D71" i="6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F1" authorId="0" shapeId="0" xr:uid="{BFC3E646-DC0F-41A7-9FDB-02A8E55CD380}">
      <text>
        <r>
          <rPr>
            <b/>
            <sz val="9"/>
            <color indexed="81"/>
            <rFont val="MS P ゴシック"/>
            <family val="3"/>
            <charset val="128"/>
          </rPr>
          <t>大臣所轄法人：大学・高等専門学校を含む場合。</t>
        </r>
      </text>
    </comment>
    <comment ref="G1" authorId="0" shapeId="0" xr:uid="{8C8B045C-6137-43BF-B393-37C00327793D}">
      <text>
        <r>
          <rPr>
            <b/>
            <sz val="9"/>
            <color indexed="81"/>
            <rFont val="MS P ゴシック"/>
            <family val="3"/>
            <charset val="128"/>
          </rPr>
          <t>知事所轄：大学・高等専門学校を含まない場合。
例　大学校はあるが、大学は含まない場合。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大野 賢一</author>
  </authors>
  <commentList>
    <comment ref="N1" authorId="0" shapeId="0" xr:uid="{E8D63ACC-40B9-4D6F-BC31-CFECE95EF1CB}">
      <text>
        <r>
          <rPr>
            <b/>
            <sz val="9"/>
            <color indexed="81"/>
            <rFont val="MS P ゴシック"/>
            <family val="3"/>
            <charset val="128"/>
          </rPr>
          <t>大臣所轄法人：大学・高等専門学校を含む場合。</t>
        </r>
      </text>
    </comment>
    <comment ref="O1" authorId="0" shapeId="0" xr:uid="{183B8560-FC5E-4A51-97E3-BE980F46CC94}">
      <text>
        <r>
          <rPr>
            <b/>
            <sz val="9"/>
            <color indexed="81"/>
            <rFont val="MS P ゴシック"/>
            <family val="3"/>
            <charset val="128"/>
          </rPr>
          <t>知事所轄：大学・高等専門学校を含まない場合。
例　大学校はあるが、大学は含まない場合。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<sst xmlns="http://schemas.openxmlformats.org/spreadsheetml/2006/main" count="5096" uniqueCount="1953">
  <si>
    <t>(フリガナ)</t>
    <phoneticPr fontId="3"/>
  </si>
  <si>
    <t>（単位：円）</t>
  </si>
  <si>
    <t>理事長名</t>
    <rPh sb="0" eb="3">
      <t>リジチョウ</t>
    </rPh>
    <rPh sb="3" eb="4">
      <t>メイ</t>
    </rPh>
    <phoneticPr fontId="3"/>
  </si>
  <si>
    <t>電話</t>
    <rPh sb="0" eb="2">
      <t>デンワ</t>
    </rPh>
    <phoneticPr fontId="3"/>
  </si>
  <si>
    <t>職名</t>
    <rPh sb="0" eb="2">
      <t>ショクメイ</t>
    </rPh>
    <phoneticPr fontId="3"/>
  </si>
  <si>
    <t>校長名</t>
    <rPh sb="0" eb="2">
      <t>コウチョウ</t>
    </rPh>
    <rPh sb="2" eb="3">
      <t>メイ</t>
    </rPh>
    <phoneticPr fontId="3"/>
  </si>
  <si>
    <t>その他</t>
    <rPh sb="2" eb="3">
      <t>タ</t>
    </rPh>
    <phoneticPr fontId="3"/>
  </si>
  <si>
    <t>（単位：人）</t>
    <rPh sb="1" eb="3">
      <t>タンイ</t>
    </rPh>
    <rPh sb="4" eb="5">
      <t>ニン</t>
    </rPh>
    <phoneticPr fontId="3"/>
  </si>
  <si>
    <t>入学者数</t>
    <rPh sb="0" eb="3">
      <t>ニュウガクシャ</t>
    </rPh>
    <rPh sb="3" eb="4">
      <t>スウ</t>
    </rPh>
    <phoneticPr fontId="3"/>
  </si>
  <si>
    <t>計</t>
    <rPh sb="0" eb="1">
      <t>ケイ</t>
    </rPh>
    <phoneticPr fontId="3"/>
  </si>
  <si>
    <t>科</t>
    <rPh sb="0" eb="1">
      <t>カ</t>
    </rPh>
    <phoneticPr fontId="3"/>
  </si>
  <si>
    <t>（単位：学級）</t>
    <rPh sb="1" eb="3">
      <t>タンイ</t>
    </rPh>
    <rPh sb="4" eb="6">
      <t>ガッキュウ</t>
    </rPh>
    <phoneticPr fontId="3"/>
  </si>
  <si>
    <t>区　分</t>
    <rPh sb="0" eb="1">
      <t>ク</t>
    </rPh>
    <rPh sb="2" eb="3">
      <t>ブン</t>
    </rPh>
    <phoneticPr fontId="3"/>
  </si>
  <si>
    <t>備　考</t>
    <rPh sb="0" eb="1">
      <t>ソナエ</t>
    </rPh>
    <rPh sb="2" eb="3">
      <t>コウ</t>
    </rPh>
    <phoneticPr fontId="3"/>
  </si>
  <si>
    <t>普　通　科</t>
    <rPh sb="0" eb="1">
      <t>ススム</t>
    </rPh>
    <rPh sb="2" eb="3">
      <t>ツウ</t>
    </rPh>
    <rPh sb="4" eb="5">
      <t>カ</t>
    </rPh>
    <phoneticPr fontId="3"/>
  </si>
  <si>
    <t>備　　考</t>
    <rPh sb="0" eb="1">
      <t>ソナエ</t>
    </rPh>
    <rPh sb="3" eb="4">
      <t>コウ</t>
    </rPh>
    <phoneticPr fontId="3"/>
  </si>
  <si>
    <t>区　　分</t>
    <rPh sb="0" eb="1">
      <t>ク</t>
    </rPh>
    <rPh sb="3" eb="4">
      <t>ブン</t>
    </rPh>
    <phoneticPr fontId="3"/>
  </si>
  <si>
    <t>人</t>
    <rPh sb="0" eb="1">
      <t>ヒト</t>
    </rPh>
    <phoneticPr fontId="3"/>
  </si>
  <si>
    <t>円</t>
    <rPh sb="0" eb="1">
      <t>エン</t>
    </rPh>
    <phoneticPr fontId="3"/>
  </si>
  <si>
    <t>生徒数　（５月１日現在）</t>
    <rPh sb="0" eb="1">
      <t>ショウ</t>
    </rPh>
    <rPh sb="1" eb="2">
      <t>ト</t>
    </rPh>
    <rPh sb="2" eb="3">
      <t>カズ</t>
    </rPh>
    <rPh sb="6" eb="7">
      <t>ガツ</t>
    </rPh>
    <rPh sb="8" eb="9">
      <t>ニチ</t>
    </rPh>
    <rPh sb="9" eb="11">
      <t>ゲンザイ</t>
    </rPh>
    <phoneticPr fontId="3"/>
  </si>
  <si>
    <t>その他（   　　）　</t>
    <rPh sb="2" eb="3">
      <t>タ</t>
    </rPh>
    <phoneticPr fontId="3"/>
  </si>
  <si>
    <t>学級</t>
    <rPh sb="0" eb="2">
      <t>ガッキュウ</t>
    </rPh>
    <phoneticPr fontId="3"/>
  </si>
  <si>
    <t>教育活動収支</t>
    <rPh sb="0" eb="2">
      <t>キョウイク</t>
    </rPh>
    <rPh sb="2" eb="4">
      <t>カツドウ</t>
    </rPh>
    <rPh sb="4" eb="6">
      <t>シュウシ</t>
    </rPh>
    <phoneticPr fontId="16"/>
  </si>
  <si>
    <t>収入の部</t>
    <rPh sb="0" eb="2">
      <t>シュウニュウ</t>
    </rPh>
    <rPh sb="3" eb="4">
      <t>ブ</t>
    </rPh>
    <phoneticPr fontId="16"/>
  </si>
  <si>
    <t>学生生徒等納付金</t>
    <rPh sb="0" eb="2">
      <t>ガクセイ</t>
    </rPh>
    <rPh sb="2" eb="4">
      <t>セイト</t>
    </rPh>
    <rPh sb="4" eb="5">
      <t>トウ</t>
    </rPh>
    <rPh sb="5" eb="8">
      <t>ノウフキン</t>
    </rPh>
    <phoneticPr fontId="16"/>
  </si>
  <si>
    <t>手数料</t>
    <rPh sb="0" eb="3">
      <t>テスウリョウ</t>
    </rPh>
    <phoneticPr fontId="16"/>
  </si>
  <si>
    <t>寄付金</t>
    <rPh sb="0" eb="3">
      <t>キフキン</t>
    </rPh>
    <phoneticPr fontId="16"/>
  </si>
  <si>
    <t>経常費等補助金</t>
    <rPh sb="0" eb="3">
      <t>ケイジョウヒ</t>
    </rPh>
    <rPh sb="3" eb="4">
      <t>トウ</t>
    </rPh>
    <rPh sb="4" eb="7">
      <t>ホジョキン</t>
    </rPh>
    <phoneticPr fontId="16"/>
  </si>
  <si>
    <t>雑収入</t>
    <rPh sb="0" eb="3">
      <t>ザッシュウニュウ</t>
    </rPh>
    <phoneticPr fontId="16"/>
  </si>
  <si>
    <t>教育活動収入計</t>
    <rPh sb="0" eb="2">
      <t>キョウイク</t>
    </rPh>
    <rPh sb="2" eb="4">
      <t>カツドウ</t>
    </rPh>
    <rPh sb="4" eb="6">
      <t>シュウニュウ</t>
    </rPh>
    <rPh sb="6" eb="7">
      <t>ケイ</t>
    </rPh>
    <phoneticPr fontId="16"/>
  </si>
  <si>
    <t>支出の部</t>
    <rPh sb="0" eb="2">
      <t>シシュツ</t>
    </rPh>
    <rPh sb="3" eb="4">
      <t>ブ</t>
    </rPh>
    <phoneticPr fontId="16"/>
  </si>
  <si>
    <t>人件費</t>
    <rPh sb="0" eb="3">
      <t>ジンケンヒ</t>
    </rPh>
    <phoneticPr fontId="16"/>
  </si>
  <si>
    <t>教育研究経費</t>
    <rPh sb="0" eb="2">
      <t>キョウイク</t>
    </rPh>
    <rPh sb="2" eb="4">
      <t>ケンキュウ</t>
    </rPh>
    <rPh sb="4" eb="6">
      <t>ケイヒ</t>
    </rPh>
    <phoneticPr fontId="16"/>
  </si>
  <si>
    <t>管理経費</t>
    <rPh sb="0" eb="2">
      <t>カンリ</t>
    </rPh>
    <rPh sb="2" eb="4">
      <t>ケイヒ</t>
    </rPh>
    <phoneticPr fontId="16"/>
  </si>
  <si>
    <t>徴収不能額等</t>
    <rPh sb="0" eb="2">
      <t>チョウシュウ</t>
    </rPh>
    <rPh sb="2" eb="5">
      <t>フノウガク</t>
    </rPh>
    <rPh sb="5" eb="6">
      <t>トウ</t>
    </rPh>
    <phoneticPr fontId="16"/>
  </si>
  <si>
    <t>教育活動支出計</t>
    <rPh sb="0" eb="2">
      <t>キョウイク</t>
    </rPh>
    <rPh sb="2" eb="4">
      <t>カツドウ</t>
    </rPh>
    <rPh sb="4" eb="6">
      <t>シシュツ</t>
    </rPh>
    <rPh sb="6" eb="7">
      <t>ケイ</t>
    </rPh>
    <phoneticPr fontId="16"/>
  </si>
  <si>
    <t>教育活動収支差額</t>
    <rPh sb="0" eb="2">
      <t>キョウイク</t>
    </rPh>
    <rPh sb="2" eb="4">
      <t>カツドウ</t>
    </rPh>
    <rPh sb="4" eb="6">
      <t>シュウシ</t>
    </rPh>
    <rPh sb="6" eb="8">
      <t>サガク</t>
    </rPh>
    <phoneticPr fontId="16"/>
  </si>
  <si>
    <t>教育活動外収支差額</t>
    <rPh sb="0" eb="2">
      <t>キョウイク</t>
    </rPh>
    <rPh sb="2" eb="4">
      <t>カツドウ</t>
    </rPh>
    <rPh sb="4" eb="5">
      <t>ガイ</t>
    </rPh>
    <rPh sb="5" eb="7">
      <t>シュウシ</t>
    </rPh>
    <rPh sb="7" eb="9">
      <t>サガク</t>
    </rPh>
    <phoneticPr fontId="16"/>
  </si>
  <si>
    <t>特別収支</t>
    <rPh sb="0" eb="2">
      <t>トクベツ</t>
    </rPh>
    <rPh sb="2" eb="4">
      <t>シュウシ</t>
    </rPh>
    <phoneticPr fontId="16"/>
  </si>
  <si>
    <t>特別収支差額</t>
    <rPh sb="0" eb="2">
      <t>トクベツ</t>
    </rPh>
    <rPh sb="2" eb="4">
      <t>シュウシ</t>
    </rPh>
    <rPh sb="4" eb="6">
      <t>サガク</t>
    </rPh>
    <phoneticPr fontId="16"/>
  </si>
  <si>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16"/>
  </si>
  <si>
    <t>基本金組入額合計</t>
    <rPh sb="0" eb="2">
      <t>キホン</t>
    </rPh>
    <rPh sb="2" eb="3">
      <t>キン</t>
    </rPh>
    <rPh sb="3" eb="4">
      <t>ク</t>
    </rPh>
    <rPh sb="4" eb="5">
      <t>イ</t>
    </rPh>
    <rPh sb="5" eb="6">
      <t>ガク</t>
    </rPh>
    <rPh sb="6" eb="8">
      <t>ゴウケイ</t>
    </rPh>
    <phoneticPr fontId="16"/>
  </si>
  <si>
    <t>当年度収支差額</t>
    <rPh sb="0" eb="3">
      <t>トウネンド</t>
    </rPh>
    <rPh sb="3" eb="5">
      <t>シュウシ</t>
    </rPh>
    <rPh sb="5" eb="7">
      <t>サガク</t>
    </rPh>
    <phoneticPr fontId="16"/>
  </si>
  <si>
    <t>事業活動収入計</t>
    <rPh sb="0" eb="2">
      <t>ジギョウ</t>
    </rPh>
    <rPh sb="2" eb="4">
      <t>カツドウ</t>
    </rPh>
    <rPh sb="4" eb="6">
      <t>シュウニュウ</t>
    </rPh>
    <rPh sb="6" eb="7">
      <t>ケイ</t>
    </rPh>
    <phoneticPr fontId="16"/>
  </si>
  <si>
    <t>事業活動支出計</t>
    <rPh sb="0" eb="2">
      <t>ジギョウ</t>
    </rPh>
    <rPh sb="2" eb="4">
      <t>カツドウ</t>
    </rPh>
    <rPh sb="4" eb="6">
      <t>シシュツ</t>
    </rPh>
    <rPh sb="6" eb="7">
      <t>ケイ</t>
    </rPh>
    <phoneticPr fontId="16"/>
  </si>
  <si>
    <t>学業不振・　   学校不適応</t>
    <phoneticPr fontId="3"/>
  </si>
  <si>
    <t>保護者の　　　転居等</t>
    <phoneticPr fontId="3"/>
  </si>
  <si>
    <t>進路変更</t>
    <phoneticPr fontId="3"/>
  </si>
  <si>
    <t>経済的理由</t>
    <phoneticPr fontId="3"/>
  </si>
  <si>
    <t>科</t>
    <rPh sb="0" eb="1">
      <t>カ</t>
    </rPh>
    <phoneticPr fontId="15"/>
  </si>
  <si>
    <t>その他</t>
    <rPh sb="2" eb="3">
      <t>タ</t>
    </rPh>
    <phoneticPr fontId="15"/>
  </si>
  <si>
    <r>
      <rPr>
        <b/>
        <sz val="9"/>
        <color theme="1"/>
        <rFont val="ＭＳ Ｐゴシック"/>
        <family val="3"/>
        <charset val="128"/>
      </rPr>
      <t>家庭</t>
    </r>
    <r>
      <rPr>
        <sz val="9"/>
        <color theme="1"/>
        <rFont val="ＭＳ Ｐゴシック"/>
        <family val="3"/>
        <charset val="128"/>
      </rPr>
      <t>に
関する学科</t>
    </r>
    <rPh sb="0" eb="2">
      <t>カテイ</t>
    </rPh>
    <rPh sb="4" eb="5">
      <t>カン</t>
    </rPh>
    <rPh sb="7" eb="9">
      <t>ガッカ</t>
    </rPh>
    <phoneticPr fontId="3"/>
  </si>
  <si>
    <r>
      <rPr>
        <b/>
        <sz val="9"/>
        <color theme="1"/>
        <rFont val="ＭＳ Ｐゴシック"/>
        <family val="3"/>
        <charset val="128"/>
      </rPr>
      <t>看護</t>
    </r>
    <r>
      <rPr>
        <sz val="9"/>
        <color theme="1"/>
        <rFont val="ＭＳ Ｐゴシック"/>
        <family val="3"/>
        <charset val="128"/>
      </rPr>
      <t>に
関する学科</t>
    </r>
    <rPh sb="0" eb="2">
      <t>カンゴ</t>
    </rPh>
    <rPh sb="4" eb="5">
      <t>カン</t>
    </rPh>
    <rPh sb="7" eb="9">
      <t>ガッカ</t>
    </rPh>
    <phoneticPr fontId="3"/>
  </si>
  <si>
    <r>
      <rPr>
        <b/>
        <sz val="9"/>
        <color theme="1"/>
        <rFont val="ＭＳ Ｐゴシック"/>
        <family val="3"/>
        <charset val="128"/>
      </rPr>
      <t>総合</t>
    </r>
    <r>
      <rPr>
        <sz val="9"/>
        <color theme="1"/>
        <rFont val="ＭＳ Ｐゴシック"/>
        <family val="3"/>
        <charset val="128"/>
      </rPr>
      <t>学科</t>
    </r>
    <rPh sb="0" eb="2">
      <t>ソウゴウ</t>
    </rPh>
    <rPh sb="2" eb="4">
      <t>ガッカ</t>
    </rPh>
    <phoneticPr fontId="3"/>
  </si>
  <si>
    <r>
      <rPr>
        <b/>
        <sz val="10"/>
        <color theme="1"/>
        <rFont val="ＭＳ Ｐゴシック"/>
        <family val="3"/>
        <charset val="128"/>
      </rPr>
      <t>家庭</t>
    </r>
    <r>
      <rPr>
        <sz val="10"/>
        <color theme="1"/>
        <rFont val="ＭＳ Ｐゴシック"/>
        <family val="3"/>
        <charset val="128"/>
      </rPr>
      <t>に
関する学科</t>
    </r>
    <rPh sb="0" eb="2">
      <t>カテイ</t>
    </rPh>
    <rPh sb="4" eb="5">
      <t>カン</t>
    </rPh>
    <rPh sb="7" eb="9">
      <t>ガッカ</t>
    </rPh>
    <phoneticPr fontId="3"/>
  </si>
  <si>
    <r>
      <rPr>
        <b/>
        <sz val="10"/>
        <color theme="1"/>
        <rFont val="ＭＳ Ｐゴシック"/>
        <family val="3"/>
        <charset val="128"/>
      </rPr>
      <t>看護</t>
    </r>
    <r>
      <rPr>
        <sz val="10"/>
        <color theme="1"/>
        <rFont val="ＭＳ Ｐゴシック"/>
        <family val="3"/>
        <charset val="128"/>
      </rPr>
      <t>に
関する学科</t>
    </r>
    <phoneticPr fontId="3"/>
  </si>
  <si>
    <r>
      <rPr>
        <b/>
        <sz val="10"/>
        <color theme="1"/>
        <rFont val="ＭＳ Ｐゴシック"/>
        <family val="3"/>
        <charset val="128"/>
      </rPr>
      <t>総合</t>
    </r>
    <r>
      <rPr>
        <sz val="10"/>
        <color theme="1"/>
        <rFont val="ＭＳ Ｐゴシック"/>
        <family val="3"/>
        <charset val="128"/>
      </rPr>
      <t>学科</t>
    </r>
    <rPh sb="0" eb="2">
      <t>ソウゴウ</t>
    </rPh>
    <rPh sb="2" eb="4">
      <t>ガッカ</t>
    </rPh>
    <phoneticPr fontId="3"/>
  </si>
  <si>
    <r>
      <rPr>
        <b/>
        <sz val="10"/>
        <color theme="1"/>
        <rFont val="ＭＳ Ｐゴシック"/>
        <family val="3"/>
        <charset val="128"/>
      </rPr>
      <t>普通</t>
    </r>
    <r>
      <rPr>
        <sz val="10"/>
        <color theme="1"/>
        <rFont val="ＭＳ Ｐゴシック"/>
        <family val="3"/>
        <charset val="128"/>
      </rPr>
      <t>科</t>
    </r>
    <rPh sb="0" eb="2">
      <t>フツウ</t>
    </rPh>
    <rPh sb="2" eb="3">
      <t>カ</t>
    </rPh>
    <phoneticPr fontId="3"/>
  </si>
  <si>
    <r>
      <rPr>
        <b/>
        <sz val="10"/>
        <color theme="1"/>
        <rFont val="ＭＳ Ｐゴシック"/>
        <family val="3"/>
        <charset val="128"/>
      </rPr>
      <t>普通</t>
    </r>
    <r>
      <rPr>
        <sz val="10"/>
        <color theme="1"/>
        <rFont val="ＭＳ Ｐゴシック"/>
        <family val="3"/>
        <charset val="128"/>
      </rPr>
      <t>科</t>
    </r>
    <rPh sb="0" eb="3">
      <t>フツウカ</t>
    </rPh>
    <phoneticPr fontId="3"/>
  </si>
  <si>
    <r>
      <rPr>
        <b/>
        <sz val="10"/>
        <color theme="1"/>
        <rFont val="ＭＳ Ｐゴシック"/>
        <family val="3"/>
        <charset val="128"/>
      </rPr>
      <t>家庭</t>
    </r>
    <r>
      <rPr>
        <sz val="10"/>
        <color theme="1"/>
        <rFont val="ＭＳ Ｐゴシック"/>
        <family val="3"/>
        <charset val="128"/>
      </rPr>
      <t>に関する学科</t>
    </r>
    <rPh sb="0" eb="2">
      <t>カテイ</t>
    </rPh>
    <rPh sb="3" eb="4">
      <t>カン</t>
    </rPh>
    <rPh sb="6" eb="8">
      <t>ガッカ</t>
    </rPh>
    <phoneticPr fontId="3"/>
  </si>
  <si>
    <r>
      <rPr>
        <b/>
        <sz val="10"/>
        <color theme="1"/>
        <rFont val="ＭＳ Ｐゴシック"/>
        <family val="3"/>
        <charset val="128"/>
      </rPr>
      <t>看護</t>
    </r>
    <r>
      <rPr>
        <sz val="10"/>
        <color theme="1"/>
        <rFont val="ＭＳ Ｐゴシック"/>
        <family val="3"/>
        <charset val="128"/>
      </rPr>
      <t>に関する学科</t>
    </r>
    <rPh sb="0" eb="2">
      <t>カンゴ</t>
    </rPh>
    <rPh sb="3" eb="4">
      <t>カン</t>
    </rPh>
    <rPh sb="6" eb="8">
      <t>ガッカ</t>
    </rPh>
    <phoneticPr fontId="3"/>
  </si>
  <si>
    <t>一関学院高等学校</t>
  </si>
  <si>
    <t>長岡英智高等学校</t>
  </si>
  <si>
    <t>綾羽高等学校</t>
  </si>
  <si>
    <t>太平洋学園高等学校</t>
  </si>
  <si>
    <t>明豊高等学校</t>
  </si>
  <si>
    <t>国士舘高等学校</t>
  </si>
  <si>
    <t>駿台学園高等学校</t>
  </si>
  <si>
    <t>天理高等学校</t>
  </si>
  <si>
    <t>小林西高等学校</t>
  </si>
  <si>
    <t>千葉学園高等学校</t>
  </si>
  <si>
    <t>岩手女子高等学校</t>
  </si>
  <si>
    <t>山形明正高等学校</t>
  </si>
  <si>
    <t>仁愛高等学校</t>
  </si>
  <si>
    <t>加茂暁星高等学校</t>
  </si>
  <si>
    <t>大成女子高等学校</t>
  </si>
  <si>
    <t>愛国高等学校</t>
  </si>
  <si>
    <t>京都聖カタリナ高等学校</t>
  </si>
  <si>
    <t>日星高等学校</t>
  </si>
  <si>
    <t>奈良文化高等学校</t>
  </si>
  <si>
    <t>米子北高等学校</t>
  </si>
  <si>
    <t>創志学園高等学校</t>
  </si>
  <si>
    <t>倉敷翠松高等学校</t>
  </si>
  <si>
    <t>中村女子高等学校</t>
  </si>
  <si>
    <t>高知中央高等学校</t>
  </si>
  <si>
    <t>純真高等学校</t>
  </si>
  <si>
    <t>博多高等学校</t>
  </si>
  <si>
    <t>折尾愛真高等学校</t>
  </si>
  <si>
    <t>美萩野女子高等学校</t>
  </si>
  <si>
    <t>飯塚高等学校</t>
  </si>
  <si>
    <t>大和青藍高等学校</t>
  </si>
  <si>
    <t>杉森高等学校</t>
  </si>
  <si>
    <t>希望が丘高等学校</t>
  </si>
  <si>
    <t>長崎玉成高等学校</t>
  </si>
  <si>
    <t>向陽高等学校</t>
  </si>
  <si>
    <t>佐世保実業高等学校</t>
  </si>
  <si>
    <t>熊本中央高等学校</t>
  </si>
  <si>
    <t>玉名女子高等学校</t>
  </si>
  <si>
    <t>有明高等学校</t>
  </si>
  <si>
    <t>城北高等学校</t>
  </si>
  <si>
    <t>大分東明高等学校</t>
  </si>
  <si>
    <t>昭和学園高等学校</t>
  </si>
  <si>
    <t>柳ヶ浦高等学校</t>
  </si>
  <si>
    <t>鵬翔高等学校</t>
  </si>
  <si>
    <t>都城東高等学校</t>
  </si>
  <si>
    <t>鹿児島城西高等学校</t>
  </si>
  <si>
    <t>鳳凰高等学校</t>
  </si>
  <si>
    <t>龍桜高等学校</t>
  </si>
  <si>
    <t>出水中央高等学校</t>
  </si>
  <si>
    <t>尚志館高等学校</t>
  </si>
  <si>
    <t>その他　　　　理由・不明</t>
    <rPh sb="10" eb="12">
      <t>フメイ</t>
    </rPh>
    <phoneticPr fontId="3"/>
  </si>
  <si>
    <t>　</t>
    <phoneticPr fontId="15"/>
  </si>
  <si>
    <t>北海道</t>
  </si>
  <si>
    <t>福井工業大学附属福井高等学校</t>
  </si>
  <si>
    <t>愛農学園農業高等学校</t>
  </si>
  <si>
    <t>近畿大学附属福岡高等学校</t>
  </si>
  <si>
    <t>佐賀女子短期大学付属佐賀女子高等学校</t>
  </si>
  <si>
    <t>九州文化学園高等学校</t>
  </si>
  <si>
    <t>別府溝部学園高等学校</t>
  </si>
  <si>
    <t>神村学園高等部</t>
  </si>
  <si>
    <t>別   票（高等学校　定時制）</t>
    <rPh sb="6" eb="10">
      <t>コウトウガッコウ</t>
    </rPh>
    <phoneticPr fontId="3"/>
  </si>
  <si>
    <t>うち
大学・短大への
進学者数</t>
    <rPh sb="3" eb="5">
      <t>ダイガク</t>
    </rPh>
    <rPh sb="6" eb="8">
      <t>タンダイ</t>
    </rPh>
    <rPh sb="11" eb="14">
      <t>シンガクシャ</t>
    </rPh>
    <rPh sb="14" eb="15">
      <t>スウ</t>
    </rPh>
    <phoneticPr fontId="3"/>
  </si>
  <si>
    <t>（注）１年生については、入学式が４月２日以降に開催された場合も、４月１日に在籍していたものとして生徒数に含めてください。</t>
  </si>
  <si>
    <t>滋賀</t>
  </si>
  <si>
    <t>札幌静修高等学校</t>
  </si>
  <si>
    <t>東奥学園高等学校</t>
  </si>
  <si>
    <t>青森山田高等学校</t>
  </si>
  <si>
    <t>八戸工業大学第一高等学校</t>
  </si>
  <si>
    <t>五所川原第一高等学校</t>
  </si>
  <si>
    <t>クラーク記念国際高等学校</t>
  </si>
  <si>
    <t>池上学院高等学校</t>
  </si>
  <si>
    <t>盛岡中央高等学校</t>
  </si>
  <si>
    <t>青森</t>
  </si>
  <si>
    <t>八戸工業大学第二高等学校</t>
  </si>
  <si>
    <t>仙台育英学園高等学校</t>
  </si>
  <si>
    <t>東陵高等学校</t>
  </si>
  <si>
    <t>岩手</t>
  </si>
  <si>
    <t>秋田修英高等学校</t>
  </si>
  <si>
    <t>宮城</t>
  </si>
  <si>
    <t>仙台白百合学園高等学校</t>
  </si>
  <si>
    <t>酒田南高等学校</t>
  </si>
  <si>
    <t>福島東稜高等学校</t>
  </si>
  <si>
    <t>会津若松ザベリオ学園高等学校</t>
  </si>
  <si>
    <t>尚志高等学校</t>
  </si>
  <si>
    <t>東日本国際大学附属昌平高等学校</t>
  </si>
  <si>
    <t>秋田</t>
  </si>
  <si>
    <t>山形</t>
  </si>
  <si>
    <t>新潟産業大学附属高等学校</t>
  </si>
  <si>
    <t>和順館高等学校</t>
  </si>
  <si>
    <t>福島</t>
  </si>
  <si>
    <t>土浦日本大学高等学校</t>
  </si>
  <si>
    <t>明秀学園日立高等学校</t>
  </si>
  <si>
    <t>鹿島学園高等学校</t>
  </si>
  <si>
    <t>新潟</t>
  </si>
  <si>
    <t>開志学園高等学校</t>
  </si>
  <si>
    <t>茨城</t>
  </si>
  <si>
    <t>聖望学園高等学校</t>
  </si>
  <si>
    <t>翔洋学園高等学校</t>
  </si>
  <si>
    <t>開智高等学校</t>
  </si>
  <si>
    <t>埼玉平成高等学校</t>
  </si>
  <si>
    <t>つくば開成高等学校</t>
  </si>
  <si>
    <t>晃陽学園高等学校</t>
  </si>
  <si>
    <t>国際学院高等学校</t>
  </si>
  <si>
    <t>水戸平成学園高等学校</t>
  </si>
  <si>
    <t>栃木</t>
  </si>
  <si>
    <t>麗澤高等学校</t>
  </si>
  <si>
    <t>東葉高等学校</t>
  </si>
  <si>
    <t>敬愛大学八日市場高等学校</t>
  </si>
  <si>
    <t>群馬</t>
  </si>
  <si>
    <t>埼玉</t>
  </si>
  <si>
    <t>武蔵野星城高等学校</t>
  </si>
  <si>
    <t>大川学園高等学校</t>
  </si>
  <si>
    <t>志学会高等学校</t>
  </si>
  <si>
    <t>霞ヶ関高等学校</t>
  </si>
  <si>
    <t>松栄学園高等学校</t>
  </si>
  <si>
    <t>松栄学園高等学校大宮分校</t>
  </si>
  <si>
    <t>横浜隼人高等学校</t>
  </si>
  <si>
    <t>松栄学園高等学校越谷分校</t>
  </si>
  <si>
    <t>森村学園高等部</t>
  </si>
  <si>
    <t>清和学園高等学校</t>
  </si>
  <si>
    <t>千葉</t>
  </si>
  <si>
    <t>星槎高等学校</t>
  </si>
  <si>
    <t>白百合学園高等学校</t>
  </si>
  <si>
    <t>正則学園高等学校</t>
  </si>
  <si>
    <t>東海大学付属高輪台高等学校</t>
  </si>
  <si>
    <t>成女高等学校</t>
  </si>
  <si>
    <t>郁文館高等学校</t>
  </si>
  <si>
    <t>明聖高等学校</t>
  </si>
  <si>
    <t>わせがく高等学校</t>
  </si>
  <si>
    <t>中山学園高等学校</t>
  </si>
  <si>
    <t>あずさ第一高等学校</t>
  </si>
  <si>
    <t>ヒューマンキャンパスのぞみ高等学校</t>
  </si>
  <si>
    <t>神奈川</t>
  </si>
  <si>
    <t>安部学院高等学校</t>
  </si>
  <si>
    <t>瀧野川女子学園高等学校</t>
  </si>
  <si>
    <t>北豊島高等学校</t>
  </si>
  <si>
    <t>清心女子高等学校</t>
  </si>
  <si>
    <t>かえつ有明高等学校</t>
  </si>
  <si>
    <t>品川女子学院高等部</t>
  </si>
  <si>
    <t>青稜高等学校</t>
  </si>
  <si>
    <t>文教大学付属高等学校</t>
  </si>
  <si>
    <t>東京実業高等学校</t>
  </si>
  <si>
    <t>科学技術学園高等学校</t>
  </si>
  <si>
    <t>玉川聖学院高等部</t>
  </si>
  <si>
    <t>秀英高等学校</t>
  </si>
  <si>
    <t>堀越高等学校</t>
  </si>
  <si>
    <t>厚木中央高等学校</t>
  </si>
  <si>
    <t>東京</t>
  </si>
  <si>
    <t>巣鴨高等学校</t>
  </si>
  <si>
    <t>豊島学院高等学校</t>
  </si>
  <si>
    <t>中央大学高等学校</t>
  </si>
  <si>
    <t>東京女子学院高等学校</t>
  </si>
  <si>
    <t>聖パウロ学園高等学校</t>
  </si>
  <si>
    <t>東海大学付属望星高等学校</t>
  </si>
  <si>
    <t>中央大学附属高等学校</t>
  </si>
  <si>
    <t>啓新高等学校</t>
  </si>
  <si>
    <t>福井南高等学校</t>
  </si>
  <si>
    <t>山梨英和高等学校</t>
  </si>
  <si>
    <t>山梨学院高等学校</t>
  </si>
  <si>
    <t>駿台甲府高等学校</t>
  </si>
  <si>
    <t>日本航空高等学校</t>
  </si>
  <si>
    <t>自然学園高等学校</t>
  </si>
  <si>
    <t>長野日本大学高等学校</t>
  </si>
  <si>
    <t>長野俊英高等学校</t>
  </si>
  <si>
    <t>飯田女子高等学校</t>
  </si>
  <si>
    <t>松本第一高等学校</t>
  </si>
  <si>
    <t>立志舎高等学校</t>
  </si>
  <si>
    <t>沼津中央高等学校</t>
  </si>
  <si>
    <t>飛龍高等学校</t>
  </si>
  <si>
    <t>東京高等学校</t>
  </si>
  <si>
    <t>中京大学附属中京高等学校</t>
  </si>
  <si>
    <t>菊華高等学校</t>
  </si>
  <si>
    <t>昭和鉄道高等学校</t>
  </si>
  <si>
    <t>巣鴨商業高等学校</t>
  </si>
  <si>
    <t>国華高等学校</t>
  </si>
  <si>
    <t>滋賀学園高等学校</t>
  </si>
  <si>
    <t>ＮＨＫ学園高等学校</t>
  </si>
  <si>
    <t>京都西山高等学校</t>
  </si>
  <si>
    <t>京都明徳高等学校</t>
  </si>
  <si>
    <t>京都共栄学園高等学校</t>
  </si>
  <si>
    <t>京都翔英高等学校</t>
  </si>
  <si>
    <t>京都両洋高等学校</t>
  </si>
  <si>
    <t>石川</t>
  </si>
  <si>
    <t>叡明館高等学校</t>
  </si>
  <si>
    <t>福井</t>
  </si>
  <si>
    <t>山梨</t>
  </si>
  <si>
    <t>長野</t>
  </si>
  <si>
    <t>早稲田摂陵高等学校</t>
  </si>
  <si>
    <t>賢明学院高等学校</t>
  </si>
  <si>
    <t>地球環境高等学校</t>
  </si>
  <si>
    <t>信濃むつみ高等学校</t>
  </si>
  <si>
    <t>岐阜</t>
  </si>
  <si>
    <t>城南高等学校</t>
  </si>
  <si>
    <t>ぎふ国際高等学校</t>
  </si>
  <si>
    <t>静岡</t>
  </si>
  <si>
    <t>奈良女子高等学校</t>
  </si>
  <si>
    <t>和歌山信愛高等学校</t>
  </si>
  <si>
    <t>高野山高等学校</t>
  </si>
  <si>
    <t>明誠高等学校</t>
  </si>
  <si>
    <t>キラリ高等学校</t>
  </si>
  <si>
    <t>愛知</t>
  </si>
  <si>
    <t>岡山理科大学附属高等学校</t>
  </si>
  <si>
    <t>興譲館高等学校</t>
  </si>
  <si>
    <t>岡山県美作高等学校</t>
  </si>
  <si>
    <t>朝日塾中等教育学校</t>
  </si>
  <si>
    <t>広島県瀬戸内高等学校</t>
  </si>
  <si>
    <t>広島新庄高等学校</t>
  </si>
  <si>
    <t>広島国際学院高等学校</t>
  </si>
  <si>
    <t>山陽女学園高等部</t>
  </si>
  <si>
    <t>広島なぎさ高等学校</t>
  </si>
  <si>
    <t>愛知産業大学三河高等学校</t>
  </si>
  <si>
    <t>聖光高等学校</t>
  </si>
  <si>
    <t>誠英高等学校</t>
  </si>
  <si>
    <t>山口県鴻城高等学校</t>
  </si>
  <si>
    <t>慶進高等学校</t>
  </si>
  <si>
    <t>三重</t>
  </si>
  <si>
    <t>長門高等学校</t>
  </si>
  <si>
    <t>高松中央高等学校</t>
  </si>
  <si>
    <t>大橋学園高等学校</t>
  </si>
  <si>
    <t>徳風高等学校</t>
  </si>
  <si>
    <t>英心高等学校</t>
  </si>
  <si>
    <t>特別支援学校部聖母の家学園高等部</t>
  </si>
  <si>
    <t>今治精華高等学校</t>
  </si>
  <si>
    <t>司学館高等学校</t>
  </si>
  <si>
    <t>京都</t>
  </si>
  <si>
    <t>精華女子高等学校</t>
  </si>
  <si>
    <t>福岡第一高等学校</t>
  </si>
  <si>
    <t>京都成章高等学校</t>
  </si>
  <si>
    <t>京都美山高等学校</t>
  </si>
  <si>
    <t>大阪</t>
  </si>
  <si>
    <t>柳川高等学校</t>
  </si>
  <si>
    <t>福智高等学校</t>
  </si>
  <si>
    <t>敬徳高等学校</t>
  </si>
  <si>
    <t>秋桜高等学校</t>
  </si>
  <si>
    <t>長崎南山高等学校</t>
  </si>
  <si>
    <t>精道三川台高等学校</t>
  </si>
  <si>
    <t>大分高等学校</t>
  </si>
  <si>
    <t>藤蔭高等学校</t>
  </si>
  <si>
    <t>都城高等学校</t>
  </si>
  <si>
    <t>日南学園高等学校</t>
  </si>
  <si>
    <t>都城聖ドミニコ学園高等学校</t>
  </si>
  <si>
    <t>天王寺学館高等学校</t>
  </si>
  <si>
    <t>鹿児島実業高等学校</t>
  </si>
  <si>
    <t>ＹＭＣＡ学院高等学校</t>
  </si>
  <si>
    <t>向陽台高等学校</t>
  </si>
  <si>
    <t>八洲学園高等学校</t>
  </si>
  <si>
    <t>長尾谷高等学校</t>
  </si>
  <si>
    <t>兵庫</t>
  </si>
  <si>
    <t>こころ未来高等学校</t>
  </si>
  <si>
    <t>奈良</t>
  </si>
  <si>
    <t>勇志国際高等学校</t>
  </si>
  <si>
    <t>くまもと清陵高等学校</t>
  </si>
  <si>
    <t>府内高等学校</t>
  </si>
  <si>
    <t>飛鳥未来高等学校</t>
  </si>
  <si>
    <t>和歌山</t>
  </si>
  <si>
    <t>慶風高等学校</t>
  </si>
  <si>
    <t>鳥取</t>
  </si>
  <si>
    <t>島根</t>
  </si>
  <si>
    <t>屋久島おおぞら高等学校</t>
  </si>
  <si>
    <t>岡山</t>
  </si>
  <si>
    <t>Ｎ高等学校</t>
  </si>
  <si>
    <t>広島</t>
  </si>
  <si>
    <t>広島工業大学高等学校</t>
  </si>
  <si>
    <t>東林館高等学校</t>
  </si>
  <si>
    <t>並木学院高等学校</t>
  </si>
  <si>
    <t>並木学院福山高等学校</t>
  </si>
  <si>
    <t>山口</t>
  </si>
  <si>
    <t>成進高等学校</t>
  </si>
  <si>
    <t>精華学園高等学校</t>
  </si>
  <si>
    <t>松陰高等学校</t>
  </si>
  <si>
    <t>香川</t>
  </si>
  <si>
    <t>愛媛</t>
  </si>
  <si>
    <t>未来高等学校</t>
  </si>
  <si>
    <t>日本ウェルネス高等学校</t>
  </si>
  <si>
    <t>高知</t>
  </si>
  <si>
    <t>福岡</t>
  </si>
  <si>
    <t>第一薬科大学付属高等学校</t>
  </si>
  <si>
    <t>佐賀</t>
  </si>
  <si>
    <t>長崎</t>
  </si>
  <si>
    <t>熊本</t>
  </si>
  <si>
    <t>大分</t>
  </si>
  <si>
    <t>宮崎</t>
  </si>
  <si>
    <t>鹿児島</t>
  </si>
  <si>
    <t>沖縄</t>
  </si>
  <si>
    <t>都道府県</t>
    <rPh sb="0" eb="4">
      <t>トドウフケン</t>
    </rPh>
    <phoneticPr fontId="15"/>
  </si>
  <si>
    <t>北海道芸術高等学校</t>
  </si>
  <si>
    <t>創進学園高等学校</t>
  </si>
  <si>
    <t>日々輝学園高等学校</t>
  </si>
  <si>
    <t>中央国際高等学校</t>
  </si>
  <si>
    <t>AOIKE高等学校</t>
  </si>
  <si>
    <t>コードアカデミー高等学校</t>
  </si>
  <si>
    <t>さくら国際高等学校</t>
  </si>
  <si>
    <t>緑誠蘭高等学校</t>
  </si>
  <si>
    <t>清凌高等学校</t>
  </si>
  <si>
    <t>西濃桃李高等学校</t>
  </si>
  <si>
    <t>一志学園高等学校</t>
  </si>
  <si>
    <t>代々木高等学校</t>
  </si>
  <si>
    <t>京都芸術大学附属高等学校</t>
  </si>
  <si>
    <t>神須学園高等学校</t>
  </si>
  <si>
    <t>英風高等学校</t>
  </si>
  <si>
    <t>東朋学園高等学校</t>
  </si>
  <si>
    <t>関西文化芸術高等学校</t>
  </si>
  <si>
    <t>日本教育学院高等学校</t>
  </si>
  <si>
    <t>滋慶学園高等学校</t>
  </si>
  <si>
    <t>ワオ高等学校</t>
  </si>
  <si>
    <t>村上学園高等学校</t>
  </si>
  <si>
    <t>RITA学園高等学校</t>
  </si>
  <si>
    <t>穴吹学園高等学校</t>
  </si>
  <si>
    <t>瑞穂MSC高等学校</t>
  </si>
  <si>
    <t>区　分</t>
    <phoneticPr fontId="3"/>
  </si>
  <si>
    <t>大学・短大への進学者数については、大学・短大と同様に卒業時に「学士」「短期大学士」の学位が取得できる学校（防衛大学校、気象大学校など）、海外の大学も含めてください。
専門学校、専攻科等への進学者は「大学・短大への進学者数」に含めません。</t>
    <phoneticPr fontId="3"/>
  </si>
  <si>
    <t/>
  </si>
  <si>
    <t>人</t>
    <rPh sb="0" eb="1">
      <t>ヒト</t>
    </rPh>
    <phoneticPr fontId="15"/>
  </si>
  <si>
    <t>教員</t>
    <rPh sb="0" eb="2">
      <t>キョウイン</t>
    </rPh>
    <phoneticPr fontId="15"/>
  </si>
  <si>
    <t>職員</t>
    <rPh sb="0" eb="2">
      <t>ショクイン</t>
    </rPh>
    <phoneticPr fontId="15"/>
  </si>
  <si>
    <t>人</t>
    <rPh sb="0" eb="1">
      <t>ニン</t>
    </rPh>
    <phoneticPr fontId="15"/>
  </si>
  <si>
    <t>付随事業収入</t>
    <rPh sb="0" eb="2">
      <t>フズイ</t>
    </rPh>
    <rPh sb="2" eb="4">
      <t>ジギョウ</t>
    </rPh>
    <rPh sb="4" eb="6">
      <t>シュウニュウ</t>
    </rPh>
    <phoneticPr fontId="16"/>
  </si>
  <si>
    <t>教育活動外収支</t>
    <rPh sb="0" eb="2">
      <t>キョウイク</t>
    </rPh>
    <rPh sb="2" eb="4">
      <t>カツドウ</t>
    </rPh>
    <rPh sb="4" eb="5">
      <t>ソト</t>
    </rPh>
    <rPh sb="5" eb="7">
      <t>シュウシ</t>
    </rPh>
    <phoneticPr fontId="16"/>
  </si>
  <si>
    <t>教育活動外収入計（受取利息、配当金等）</t>
    <rPh sb="0" eb="2">
      <t>キョウイク</t>
    </rPh>
    <rPh sb="2" eb="4">
      <t>カツドウ</t>
    </rPh>
    <rPh sb="4" eb="5">
      <t>ガイ</t>
    </rPh>
    <rPh sb="5" eb="7">
      <t>シュウニュウ</t>
    </rPh>
    <rPh sb="7" eb="8">
      <t>ケイ</t>
    </rPh>
    <phoneticPr fontId="16"/>
  </si>
  <si>
    <t>教育活動外支出計（借入金利息等）</t>
    <rPh sb="0" eb="2">
      <t>キョウイク</t>
    </rPh>
    <rPh sb="2" eb="4">
      <t>カツドウ</t>
    </rPh>
    <rPh sb="4" eb="5">
      <t>ガイ</t>
    </rPh>
    <rPh sb="5" eb="7">
      <t>シシュツ</t>
    </rPh>
    <rPh sb="7" eb="8">
      <t>ケイ</t>
    </rPh>
    <phoneticPr fontId="16"/>
  </si>
  <si>
    <t>特別収入計（資産売却差額、設備寄付等）</t>
    <rPh sb="0" eb="2">
      <t>トクベツ</t>
    </rPh>
    <rPh sb="2" eb="4">
      <t>シュウニュウ</t>
    </rPh>
    <rPh sb="4" eb="5">
      <t>ケイ</t>
    </rPh>
    <phoneticPr fontId="16"/>
  </si>
  <si>
    <t>うち施設設備補助金</t>
    <rPh sb="2" eb="4">
      <t>シセツ</t>
    </rPh>
    <rPh sb="4" eb="6">
      <t>セツビ</t>
    </rPh>
    <rPh sb="6" eb="9">
      <t>ホジョキン</t>
    </rPh>
    <phoneticPr fontId="3"/>
  </si>
  <si>
    <t>マイナス(－)の付け忘れに注意(▲表示されます）</t>
    <rPh sb="8" eb="9">
      <t>ツケ</t>
    </rPh>
    <rPh sb="17" eb="19">
      <t>ヒョウジ</t>
    </rPh>
    <phoneticPr fontId="15"/>
  </si>
  <si>
    <t>２．卒業生の大学・短大進学状況について</t>
    <rPh sb="2" eb="5">
      <t>ソツギョウセイ</t>
    </rPh>
    <rPh sb="6" eb="8">
      <t>ダイガク</t>
    </rPh>
    <rPh sb="9" eb="11">
      <t>タンダイ</t>
    </rPh>
    <rPh sb="11" eb="13">
      <t>シンガク</t>
    </rPh>
    <rPh sb="13" eb="15">
      <t>ジョウキョウ</t>
    </rPh>
    <phoneticPr fontId="3"/>
  </si>
  <si>
    <t>(注)</t>
    <phoneticPr fontId="3"/>
  </si>
  <si>
    <t>うち、併設・系列の
大学・短大への
進学者数</t>
    <rPh sb="3" eb="5">
      <t>ヘイセツ</t>
    </rPh>
    <rPh sb="6" eb="8">
      <t>ケイレツ</t>
    </rPh>
    <rPh sb="10" eb="12">
      <t>ダイガク</t>
    </rPh>
    <rPh sb="13" eb="15">
      <t>タンダイ</t>
    </rPh>
    <rPh sb="18" eb="21">
      <t>シンガクシャ</t>
    </rPh>
    <rPh sb="21" eb="22">
      <t>スウ</t>
    </rPh>
    <phoneticPr fontId="3"/>
  </si>
  <si>
    <t>大学</t>
    <rPh sb="0" eb="2">
      <t>ダイガク</t>
    </rPh>
    <phoneticPr fontId="3"/>
  </si>
  <si>
    <t>短大</t>
    <rPh sb="0" eb="2">
      <t>タンダイ</t>
    </rPh>
    <phoneticPr fontId="3"/>
  </si>
  <si>
    <r>
      <t xml:space="preserve">コード番号
</t>
    </r>
    <r>
      <rPr>
        <sz val="9"/>
        <color rgb="FF0070C0"/>
        <rFont val="ＭＳ Ｐゴシック"/>
        <family val="3"/>
        <charset val="128"/>
      </rPr>
      <t>■</t>
    </r>
    <r>
      <rPr>
        <sz val="9"/>
        <rFont val="ＭＳ Ｐゴシック"/>
        <family val="3"/>
        <charset val="128"/>
      </rPr>
      <t xml:space="preserve">は未加盟
</t>
    </r>
    <r>
      <rPr>
        <sz val="9"/>
        <color rgb="FF7030A0"/>
        <rFont val="ＭＳ Ｐゴシック"/>
        <family val="3"/>
        <charset val="128"/>
      </rPr>
      <t>■</t>
    </r>
    <r>
      <rPr>
        <sz val="9"/>
        <rFont val="ＭＳ Ｐゴシック"/>
        <family val="3"/>
        <charset val="128"/>
      </rPr>
      <t xml:space="preserve">は県別ページ掲載無し
</t>
    </r>
    <r>
      <rPr>
        <sz val="9"/>
        <color theme="9" tint="-0.249977111117893"/>
        <rFont val="ＭＳ Ｐゴシック"/>
        <family val="3"/>
        <charset val="128"/>
      </rPr>
      <t>■</t>
    </r>
    <r>
      <rPr>
        <sz val="9"/>
        <rFont val="ＭＳ Ｐゴシック"/>
        <family val="3"/>
        <charset val="128"/>
      </rPr>
      <t>はカウント方法に注意</t>
    </r>
    <rPh sb="3" eb="5">
      <t>バンゴウ</t>
    </rPh>
    <rPh sb="8" eb="11">
      <t>ミカメイ</t>
    </rPh>
    <rPh sb="14" eb="16">
      <t>ケンベツ</t>
    </rPh>
    <rPh sb="19" eb="21">
      <t>ケイサイ</t>
    </rPh>
    <rPh sb="21" eb="22">
      <t>ナ</t>
    </rPh>
    <rPh sb="30" eb="32">
      <t>ホウホウ</t>
    </rPh>
    <rPh sb="33" eb="35">
      <t>チュウイ</t>
    </rPh>
    <phoneticPr fontId="5"/>
  </si>
  <si>
    <r>
      <rPr>
        <b/>
        <sz val="10"/>
        <rFont val="ＭＳ Ｐゴシック"/>
        <family val="3"/>
        <charset val="128"/>
      </rPr>
      <t>高等学校名、中等教育学校名（太字１９校）</t>
    </r>
    <r>
      <rPr>
        <sz val="10"/>
        <rFont val="ＭＳ Ｐゴシック"/>
        <family val="3"/>
        <charset val="128"/>
      </rPr>
      <t xml:space="preserve">
</t>
    </r>
    <r>
      <rPr>
        <b/>
        <sz val="10"/>
        <color rgb="FFFF0000"/>
        <rFont val="ＭＳ Ｐゴシック"/>
        <family val="3"/>
        <charset val="128"/>
      </rPr>
      <t>※横浜富士見丘中等教育学校（神奈川）
鈴鹿中等教育学校（三重）　
英心高校桔梗が丘校（三重）
東林館高等学校呉分校（広島）はコード番号同じ</t>
    </r>
    <rPh sb="0" eb="4">
      <t>コウトウガッコウ</t>
    </rPh>
    <rPh sb="4" eb="5">
      <t>メイ</t>
    </rPh>
    <rPh sb="6" eb="8">
      <t>チュウトウ</t>
    </rPh>
    <rPh sb="8" eb="10">
      <t>キョウイク</t>
    </rPh>
    <rPh sb="10" eb="12">
      <t>ガッコウ</t>
    </rPh>
    <rPh sb="12" eb="13">
      <t>メイ</t>
    </rPh>
    <rPh sb="14" eb="16">
      <t>フトジ</t>
    </rPh>
    <rPh sb="18" eb="19">
      <t>コウ</t>
    </rPh>
    <rPh sb="28" eb="34">
      <t>チュウトウキョウイクガッコウ</t>
    </rPh>
    <rPh sb="35" eb="38">
      <t>カナガワ</t>
    </rPh>
    <rPh sb="49" eb="51">
      <t>ミエ</t>
    </rPh>
    <rPh sb="54" eb="55">
      <t>エイ</t>
    </rPh>
    <rPh sb="55" eb="56">
      <t>ココロ</t>
    </rPh>
    <rPh sb="56" eb="58">
      <t>コウコウ</t>
    </rPh>
    <rPh sb="58" eb="60">
      <t>キキョウ</t>
    </rPh>
    <rPh sb="61" eb="62">
      <t>オカ</t>
    </rPh>
    <rPh sb="62" eb="63">
      <t>コウ</t>
    </rPh>
    <rPh sb="64" eb="66">
      <t>ミエ</t>
    </rPh>
    <rPh sb="68" eb="69">
      <t>ヒガシ</t>
    </rPh>
    <rPh sb="79" eb="81">
      <t>ヒロシマ</t>
    </rPh>
    <rPh sb="86" eb="88">
      <t>バンゴウ</t>
    </rPh>
    <rPh sb="88" eb="89">
      <t>オナ</t>
    </rPh>
    <phoneticPr fontId="5"/>
  </si>
  <si>
    <t>ふりがな①</t>
    <phoneticPr fontId="5"/>
  </si>
  <si>
    <r>
      <t xml:space="preserve">高校課程
</t>
    </r>
    <r>
      <rPr>
        <b/>
        <sz val="9"/>
        <rFont val="ＭＳ Ｐゴシック"/>
        <family val="3"/>
        <charset val="128"/>
      </rPr>
      <t xml:space="preserve">【選択】
</t>
    </r>
    <r>
      <rPr>
        <sz val="9"/>
        <rFont val="ＭＳ Ｐゴシック"/>
        <family val="3"/>
        <charset val="128"/>
      </rPr>
      <t>全
全・通
など</t>
    </r>
    <rPh sb="0" eb="2">
      <t>コウコウ</t>
    </rPh>
    <rPh sb="2" eb="4">
      <t>カテイ</t>
    </rPh>
    <rPh sb="10" eb="11">
      <t>ゼン</t>
    </rPh>
    <rPh sb="12" eb="13">
      <t>ゼン</t>
    </rPh>
    <rPh sb="14" eb="15">
      <t>トオル</t>
    </rPh>
    <phoneticPr fontId="5"/>
  </si>
  <si>
    <t>中学校名</t>
    <rPh sb="0" eb="3">
      <t>チュウガッコウ</t>
    </rPh>
    <rPh sb="3" eb="4">
      <t>メイ</t>
    </rPh>
    <phoneticPr fontId="5"/>
  </si>
  <si>
    <t>ふりがな②</t>
    <phoneticPr fontId="5"/>
  </si>
  <si>
    <t>さっぽろせいしゅう</t>
  </si>
  <si>
    <t>全・通</t>
  </si>
  <si>
    <r>
      <t>小</t>
    </r>
    <r>
      <rPr>
        <sz val="14"/>
        <color rgb="FFFF0000"/>
        <rFont val="ＭＳ Ｐゴシック"/>
        <family val="3"/>
        <charset val="128"/>
      </rPr>
      <t>樽</t>
    </r>
    <r>
      <rPr>
        <sz val="8"/>
        <rFont val="ＭＳ 明朝"/>
        <family val="1"/>
        <charset val="128"/>
      </rPr>
      <t>双葉高等学校</t>
    </r>
    <rPh sb="1" eb="2">
      <t>タル</t>
    </rPh>
    <phoneticPr fontId="5"/>
  </si>
  <si>
    <t>おたるふたば</t>
    <phoneticPr fontId="5"/>
  </si>
  <si>
    <t>全・通</t>
    <phoneticPr fontId="5"/>
  </si>
  <si>
    <t>双葉中学校【休校】</t>
    <rPh sb="6" eb="8">
      <t>キュウコウ</t>
    </rPh>
    <phoneticPr fontId="5"/>
  </si>
  <si>
    <t>ふたば</t>
  </si>
  <si>
    <t>小樽双葉高等学校</t>
  </si>
  <si>
    <t>酪農学園大学附属とわの森三愛高等学校</t>
    <rPh sb="0" eb="2">
      <t>ラクノウ</t>
    </rPh>
    <rPh sb="2" eb="4">
      <t>ガクエン</t>
    </rPh>
    <rPh sb="4" eb="6">
      <t>ダイガク</t>
    </rPh>
    <rPh sb="6" eb="8">
      <t>フゾク</t>
    </rPh>
    <phoneticPr fontId="5"/>
  </si>
  <si>
    <t>らくのうがくえんだいがくふぞくとわのもりさんあい</t>
    <phoneticPr fontId="5"/>
  </si>
  <si>
    <t>酪農学園大学附属とわの森三愛高等学校</t>
  </si>
  <si>
    <t>くらーくきねんこくさい</t>
    <phoneticPr fontId="5"/>
  </si>
  <si>
    <t>通</t>
  </si>
  <si>
    <t>いけがみがくいん</t>
  </si>
  <si>
    <t>星槎国際高等学校</t>
    <phoneticPr fontId="5"/>
  </si>
  <si>
    <t>せいさこくさい</t>
  </si>
  <si>
    <t>星槎もみじ中学校</t>
    <rPh sb="5" eb="8">
      <t>チュウガッコウ</t>
    </rPh>
    <phoneticPr fontId="5"/>
  </si>
  <si>
    <t>せいさもみじ</t>
    <phoneticPr fontId="5"/>
  </si>
  <si>
    <t>星槎もみじ中学校</t>
  </si>
  <si>
    <t>北海道芸術高等学校</t>
    <rPh sb="0" eb="3">
      <t>ホッカイドウ</t>
    </rPh>
    <rPh sb="3" eb="5">
      <t>ゲイジュツ</t>
    </rPh>
    <rPh sb="5" eb="7">
      <t>コウトウ</t>
    </rPh>
    <rPh sb="7" eb="9">
      <t>ガッコウ</t>
    </rPh>
    <phoneticPr fontId="5"/>
  </si>
  <si>
    <t>ほっかいどうげいじゅつ</t>
    <phoneticPr fontId="5"/>
  </si>
  <si>
    <t>通</t>
    <rPh sb="0" eb="1">
      <t>ツウ</t>
    </rPh>
    <phoneticPr fontId="5"/>
  </si>
  <si>
    <t>北海道シュタイナー学園いずみの学校中等部</t>
  </si>
  <si>
    <t>ほっかいどうしゅたいなーがくえんいずみのがっこう</t>
  </si>
  <si>
    <t>にっぽんたいいくだいがくふぞく</t>
    <phoneticPr fontId="5"/>
  </si>
  <si>
    <t>日本体育大学荏原高等学校</t>
  </si>
  <si>
    <t>ほっかいどうきょういくがくえんさんわ</t>
    <phoneticPr fontId="5"/>
  </si>
  <si>
    <t>北海道教育学園三和高等学校【新設】</t>
  </si>
  <si>
    <t>とうおうがくえん</t>
  </si>
  <si>
    <t>あおもりやまだ</t>
  </si>
  <si>
    <t>青森山田中学校</t>
  </si>
  <si>
    <t>ちばがくえん</t>
  </si>
  <si>
    <t>はちのへこうぎょうだいがくだいに</t>
  </si>
  <si>
    <t>八戸工業大学第二高等学校附属中学校</t>
    <rPh sb="0" eb="2">
      <t>ハチノヘ</t>
    </rPh>
    <rPh sb="2" eb="4">
      <t>コウギョウ</t>
    </rPh>
    <rPh sb="4" eb="6">
      <t>ダイガク</t>
    </rPh>
    <rPh sb="6" eb="8">
      <t>ダイニ</t>
    </rPh>
    <rPh sb="8" eb="10">
      <t>コウトウ</t>
    </rPh>
    <rPh sb="10" eb="12">
      <t>ガッコウ</t>
    </rPh>
    <rPh sb="12" eb="14">
      <t>フゾク</t>
    </rPh>
    <rPh sb="14" eb="17">
      <t>チュウガッコウ</t>
    </rPh>
    <phoneticPr fontId="5"/>
  </si>
  <si>
    <t>はちのへこうぎょうだいがくだいにこうとうがっこうふぞく</t>
    <phoneticPr fontId="5"/>
  </si>
  <si>
    <t>ごしょがわらだいいち</t>
  </si>
  <si>
    <t>いわてじょし</t>
  </si>
  <si>
    <t>いちのせきがくいん</t>
  </si>
  <si>
    <t>もりおかちゅうおう</t>
  </si>
  <si>
    <t>盛岡中央高等学校附属中学校</t>
    <rPh sb="0" eb="2">
      <t>モリオカ</t>
    </rPh>
    <rPh sb="2" eb="4">
      <t>チュウオウ</t>
    </rPh>
    <rPh sb="4" eb="6">
      <t>コウトウ</t>
    </rPh>
    <rPh sb="6" eb="8">
      <t>ガッコウ</t>
    </rPh>
    <rPh sb="8" eb="10">
      <t>フゾク</t>
    </rPh>
    <rPh sb="10" eb="13">
      <t>チュウガッコウ</t>
    </rPh>
    <phoneticPr fontId="5"/>
  </si>
  <si>
    <t>もりおかちゅうおうこうとうがっこうふぞく</t>
    <phoneticPr fontId="5"/>
  </si>
  <si>
    <t>さんあいがくしゃ</t>
  </si>
  <si>
    <t>三愛学舎【特別支援】</t>
  </si>
  <si>
    <t>盛岡誠桜高等学校</t>
    <rPh sb="2" eb="3">
      <t>セイ</t>
    </rPh>
    <rPh sb="3" eb="4">
      <t>サクラ</t>
    </rPh>
    <phoneticPr fontId="5"/>
  </si>
  <si>
    <t>もりおかせいおう</t>
    <phoneticPr fontId="5"/>
  </si>
  <si>
    <t>せいわがくえん</t>
  </si>
  <si>
    <t>せんだいしらゆりがくえん</t>
  </si>
  <si>
    <t>全・通</t>
    <rPh sb="2" eb="3">
      <t>ツウ</t>
    </rPh>
    <phoneticPr fontId="5"/>
  </si>
  <si>
    <t>仙台白百合学園中学校</t>
  </si>
  <si>
    <t>せんだいいくえいがくえん</t>
  </si>
  <si>
    <t>秀光中学校</t>
    <rPh sb="0" eb="2">
      <t>シュウコウ</t>
    </rPh>
    <rPh sb="2" eb="5">
      <t>チュウガッコウ</t>
    </rPh>
    <phoneticPr fontId="5"/>
  </si>
  <si>
    <t>しゅうこう</t>
    <phoneticPr fontId="5"/>
  </si>
  <si>
    <t>とうりょう</t>
  </si>
  <si>
    <t>全</t>
    <rPh sb="0" eb="1">
      <t>ゼン</t>
    </rPh>
    <phoneticPr fontId="5"/>
  </si>
  <si>
    <t>日本ウェルネス宮城高等学校</t>
  </si>
  <si>
    <t>いずみこうとうしえんがっこう</t>
    <phoneticPr fontId="5"/>
  </si>
  <si>
    <t>いずみ高等支援学校【特別支援】</t>
  </si>
  <si>
    <t>飛鳥未来きずな高等学校</t>
    <rPh sb="0" eb="2">
      <t>アスカ</t>
    </rPh>
    <rPh sb="2" eb="4">
      <t>ミライ</t>
    </rPh>
    <rPh sb="7" eb="9">
      <t>コウトウ</t>
    </rPh>
    <rPh sb="9" eb="11">
      <t>ガッコウ</t>
    </rPh>
    <phoneticPr fontId="5"/>
  </si>
  <si>
    <t>あすかみらいきずな</t>
    <phoneticPr fontId="5"/>
  </si>
  <si>
    <t>通</t>
    <rPh sb="0" eb="1">
      <t>トオ</t>
    </rPh>
    <phoneticPr fontId="5"/>
  </si>
  <si>
    <t>しえんがっこうせんだいみらいこうとうがくえん</t>
    <phoneticPr fontId="5"/>
  </si>
  <si>
    <t>あきたしゅうえい</t>
  </si>
  <si>
    <t>やまがためいせい</t>
  </si>
  <si>
    <t>めいせいがくえん</t>
  </si>
  <si>
    <t>惺山高等学校</t>
    <rPh sb="0" eb="1">
      <t>セイ</t>
    </rPh>
    <rPh sb="1" eb="2">
      <t>ザン</t>
    </rPh>
    <phoneticPr fontId="5"/>
  </si>
  <si>
    <t>せいざん</t>
    <phoneticPr fontId="5"/>
  </si>
  <si>
    <t>惺山高等学校</t>
  </si>
  <si>
    <t>わじゅんかん</t>
  </si>
  <si>
    <t>ふくしまとうりょう</t>
  </si>
  <si>
    <t>しょうし</t>
  </si>
  <si>
    <t>じんあい</t>
  </si>
  <si>
    <t>郡山ザベリオ学園中学校</t>
  </si>
  <si>
    <t>こおりやまざべりおがくえん</t>
    <phoneticPr fontId="5"/>
  </si>
  <si>
    <t>ひがしにほんこくさいだいがくふぞくしょうへい</t>
  </si>
  <si>
    <t>東日本国際大学附属昌平中学校</t>
  </si>
  <si>
    <t>ふくしまみなみ</t>
  </si>
  <si>
    <t>福島南高等学校【休校】</t>
  </si>
  <si>
    <t>にいがたさんぎょうだいがくふぞく</t>
  </si>
  <si>
    <t>かもぎょうせい</t>
  </si>
  <si>
    <t>かいしがくえん</t>
  </si>
  <si>
    <t>開志国際高等学校</t>
  </si>
  <si>
    <t>創進学園高等学校</t>
    <rPh sb="0" eb="1">
      <t>ソウ</t>
    </rPh>
    <rPh sb="1" eb="2">
      <t>シン</t>
    </rPh>
    <rPh sb="2" eb="4">
      <t>ガクエン</t>
    </rPh>
    <rPh sb="4" eb="6">
      <t>コウトウ</t>
    </rPh>
    <rPh sb="6" eb="8">
      <t>ガッコウ</t>
    </rPh>
    <phoneticPr fontId="5"/>
  </si>
  <si>
    <t>そうしんがくえん</t>
    <phoneticPr fontId="5"/>
  </si>
  <si>
    <t>長岡英智高等学校</t>
    <rPh sb="0" eb="2">
      <t>ナガオカ</t>
    </rPh>
    <phoneticPr fontId="5"/>
  </si>
  <si>
    <t>ながおかえいち</t>
    <phoneticPr fontId="5"/>
  </si>
  <si>
    <t>たいせいじょし</t>
  </si>
  <si>
    <t>つちうらにほんだいがく</t>
  </si>
  <si>
    <t>めいしゅうがくえんひたち</t>
  </si>
  <si>
    <t>東洋大学京北高等学校</t>
  </si>
  <si>
    <t>かしまがくえん</t>
  </si>
  <si>
    <t>しょうようがくえん</t>
  </si>
  <si>
    <t>水戸英宏中学校　</t>
  </si>
  <si>
    <t>みとえいこう</t>
  </si>
  <si>
    <t>つくばかいせい</t>
  </si>
  <si>
    <t>こうようがくえん</t>
  </si>
  <si>
    <t>みとへいせいがくえん</t>
  </si>
  <si>
    <t>青葉台中等学部【休校】</t>
    <rPh sb="0" eb="3">
      <t>アオバダイ</t>
    </rPh>
    <rPh sb="3" eb="5">
      <t>チュウトウ</t>
    </rPh>
    <rPh sb="5" eb="7">
      <t>ガクブ</t>
    </rPh>
    <phoneticPr fontId="5"/>
  </si>
  <si>
    <t>あおばだいちゅうとうがくぶ</t>
    <phoneticPr fontId="5"/>
  </si>
  <si>
    <t>青葉台中等学部【休校】</t>
  </si>
  <si>
    <t>EIKOデジタル・クリエイティブ高等学校</t>
    <rPh sb="16" eb="20">
      <t>コウトウガッコウ</t>
    </rPh>
    <phoneticPr fontId="5"/>
  </si>
  <si>
    <t>えいこーでじたるくりえいてぃぶ</t>
    <phoneticPr fontId="5"/>
  </si>
  <si>
    <t>Ｓ高等学校</t>
    <rPh sb="1" eb="3">
      <t>コウトウ</t>
    </rPh>
    <rPh sb="3" eb="5">
      <t>ガッコウ</t>
    </rPh>
    <phoneticPr fontId="5"/>
  </si>
  <si>
    <t>えす</t>
    <phoneticPr fontId="5"/>
  </si>
  <si>
    <t>日本ウェルネス高等学校</t>
    <rPh sb="0" eb="2">
      <t>ニホン</t>
    </rPh>
    <rPh sb="7" eb="11">
      <t>コウトウガッコウ</t>
    </rPh>
    <phoneticPr fontId="5"/>
  </si>
  <si>
    <t>にほんうぇるねす</t>
    <phoneticPr fontId="5"/>
  </si>
  <si>
    <t>あすかみらいきぼう</t>
    <phoneticPr fontId="5"/>
  </si>
  <si>
    <t>日々輝学園高等学校</t>
    <rPh sb="0" eb="3">
      <t>ヒビキ</t>
    </rPh>
    <rPh sb="3" eb="5">
      <t>ガクエン</t>
    </rPh>
    <rPh sb="5" eb="7">
      <t>コウトウ</t>
    </rPh>
    <rPh sb="7" eb="9">
      <t>ガッコウ</t>
    </rPh>
    <phoneticPr fontId="5"/>
  </si>
  <si>
    <t>ひびきがくえん</t>
    <phoneticPr fontId="5"/>
  </si>
  <si>
    <t>しえんがっこうわかばこうとうがくえん</t>
    <phoneticPr fontId="5"/>
  </si>
  <si>
    <t>支援学校若葉高等学園【特別支援】</t>
  </si>
  <si>
    <t>せいぼうがくえん</t>
  </si>
  <si>
    <t>聖望学園中学校</t>
  </si>
  <si>
    <t>けいおうぎじゅく</t>
  </si>
  <si>
    <t>慶應義塾中等部</t>
  </si>
  <si>
    <t>かいち</t>
  </si>
  <si>
    <t>開智中学校</t>
  </si>
  <si>
    <t>こくさいがくいん</t>
  </si>
  <si>
    <t>国際学院中学校【募集停止】</t>
    <rPh sb="0" eb="2">
      <t>コクサイ</t>
    </rPh>
    <rPh sb="2" eb="4">
      <t>ガクイン</t>
    </rPh>
    <rPh sb="4" eb="7">
      <t>チュウガッコウ</t>
    </rPh>
    <rPh sb="8" eb="12">
      <t>ボシュウテイシ</t>
    </rPh>
    <phoneticPr fontId="5"/>
  </si>
  <si>
    <t>こくさいがくいん</t>
    <phoneticPr fontId="5"/>
  </si>
  <si>
    <t>むさしのせいじょう</t>
  </si>
  <si>
    <t>おおかわがくえん</t>
  </si>
  <si>
    <t>しがくかい</t>
  </si>
  <si>
    <t>わせがく夢育高等学校</t>
    <rPh sb="4" eb="6">
      <t>ユメイク</t>
    </rPh>
    <rPh sb="6" eb="10">
      <t>コウトウガッコウ</t>
    </rPh>
    <phoneticPr fontId="5"/>
  </si>
  <si>
    <t>わせがくゆめいく</t>
    <phoneticPr fontId="5"/>
  </si>
  <si>
    <t>かすみがせき</t>
  </si>
  <si>
    <t>まつえがくえん</t>
  </si>
  <si>
    <t>まつえがくえんおおみやぶんこう</t>
  </si>
  <si>
    <t>まつえがくえんこしがやぶんこう</t>
  </si>
  <si>
    <t>ひかりのむらようごがっこうちちぶしぜんがくえん</t>
  </si>
  <si>
    <t>特別支援学校光の村秩父自然学園中学部【特別支援】</t>
    <phoneticPr fontId="5"/>
  </si>
  <si>
    <t>特別支援学校光の村土佐自然学園高等部【特別支援】</t>
  </si>
  <si>
    <t>れいたく</t>
  </si>
  <si>
    <t>麗澤中学校</t>
  </si>
  <si>
    <t>とうよう</t>
  </si>
  <si>
    <t>けいあいだいがくようかいちば</t>
  </si>
  <si>
    <t>鴨川令徳高等学校</t>
    <rPh sb="0" eb="2">
      <t>カモガワ</t>
    </rPh>
    <rPh sb="2" eb="3">
      <t>レイ</t>
    </rPh>
    <rPh sb="3" eb="4">
      <t>トク</t>
    </rPh>
    <phoneticPr fontId="5"/>
  </si>
  <si>
    <t>かもがわれいとく</t>
    <phoneticPr fontId="5"/>
  </si>
  <si>
    <t>鴨川令徳高等学校</t>
  </si>
  <si>
    <t>しがくかん</t>
  </si>
  <si>
    <t>めいせい</t>
  </si>
  <si>
    <t>わせがく</t>
  </si>
  <si>
    <t>なかやまがくえん</t>
  </si>
  <si>
    <t>あずさだいいち</t>
  </si>
  <si>
    <t>中央国際高等学校</t>
    <rPh sb="0" eb="2">
      <t>チュウオウ</t>
    </rPh>
    <rPh sb="2" eb="4">
      <t>コクサイ</t>
    </rPh>
    <rPh sb="4" eb="6">
      <t>コウトウ</t>
    </rPh>
    <rPh sb="6" eb="8">
      <t>ガッコウ</t>
    </rPh>
    <phoneticPr fontId="5"/>
  </si>
  <si>
    <t>ちゅうおうこくさい</t>
    <phoneticPr fontId="5"/>
  </si>
  <si>
    <t>三育学院中等教育学校</t>
  </si>
  <si>
    <t>三育学院中学校【令和5年度から募集停止】</t>
    <rPh sb="0" eb="1">
      <t>3</t>
    </rPh>
    <rPh sb="1" eb="2">
      <t>イク</t>
    </rPh>
    <rPh sb="2" eb="4">
      <t>ガクイン</t>
    </rPh>
    <rPh sb="4" eb="7">
      <t>チュウガッコウ</t>
    </rPh>
    <rPh sb="8" eb="10">
      <t>レイワ</t>
    </rPh>
    <rPh sb="11" eb="13">
      <t>ネンド</t>
    </rPh>
    <rPh sb="15" eb="17">
      <t>ボシュウ</t>
    </rPh>
    <rPh sb="17" eb="19">
      <t>テイシ</t>
    </rPh>
    <phoneticPr fontId="5"/>
  </si>
  <si>
    <t>さんいくがくいん</t>
    <phoneticPr fontId="5"/>
  </si>
  <si>
    <t>ヒューマンキャンパスのぞみ高等学校</t>
    <rPh sb="13" eb="17">
      <t>コウトウガッコウ</t>
    </rPh>
    <phoneticPr fontId="5"/>
  </si>
  <si>
    <t>ひゅーまんきゃんぱすのぞみ</t>
    <phoneticPr fontId="5"/>
  </si>
  <si>
    <t>千葉科学大学附属高等学校</t>
    <phoneticPr fontId="5"/>
  </si>
  <si>
    <t>ちばかがくだいがくふぞく</t>
    <phoneticPr fontId="5"/>
  </si>
  <si>
    <t>ちゅうおうだいがく</t>
  </si>
  <si>
    <t>慶應義塾普通部</t>
  </si>
  <si>
    <t>せいしんじょし</t>
  </si>
  <si>
    <t>もりむらがくえん</t>
  </si>
  <si>
    <t>しゅうえい</t>
  </si>
  <si>
    <t>聖ステパノ学園中学校</t>
  </si>
  <si>
    <t>せいすてばのがくえん</t>
    <phoneticPr fontId="5"/>
  </si>
  <si>
    <t>あつぎちゅうおう</t>
  </si>
  <si>
    <t>せいさ</t>
  </si>
  <si>
    <t>星槎中学校</t>
  </si>
  <si>
    <t>よこはまくんもうがくいん</t>
  </si>
  <si>
    <t>横浜訓盲学院中学部【特別支援】</t>
    <phoneticPr fontId="5"/>
  </si>
  <si>
    <t>横浜訓盲学院高等部【特別支援】</t>
  </si>
  <si>
    <t>ひじりざかしえんがっこう</t>
    <phoneticPr fontId="5"/>
  </si>
  <si>
    <t>聖坂支援学校中学部【特別支援】</t>
    <rPh sb="2" eb="4">
      <t>シエン</t>
    </rPh>
    <phoneticPr fontId="5"/>
  </si>
  <si>
    <t>聖坂支援学校高等部【特別支援】</t>
  </si>
  <si>
    <t>しょうなんらいなすがくえん</t>
    <phoneticPr fontId="5"/>
  </si>
  <si>
    <t>湘南ライナス学園中等部【休校】</t>
    <rPh sb="0" eb="2">
      <t>ショウナン</t>
    </rPh>
    <rPh sb="6" eb="8">
      <t>ガクエン</t>
    </rPh>
    <rPh sb="8" eb="11">
      <t>チュウトウブ</t>
    </rPh>
    <rPh sb="12" eb="14">
      <t>キュウコウ</t>
    </rPh>
    <phoneticPr fontId="5"/>
  </si>
  <si>
    <t>湘南ライナス学園高等部【休校】</t>
  </si>
  <si>
    <t>せいそくがくえん</t>
  </si>
  <si>
    <t>全・定</t>
  </si>
  <si>
    <t>定</t>
  </si>
  <si>
    <t>大原学園美空高等学校</t>
    <rPh sb="4" eb="6">
      <t>ミソラ</t>
    </rPh>
    <phoneticPr fontId="5"/>
  </si>
  <si>
    <t>おおはらがくえんみそら</t>
    <phoneticPr fontId="5"/>
  </si>
  <si>
    <t>大原学園美空高等学校</t>
  </si>
  <si>
    <t>とうかいだいがくふぞくぼうせい</t>
  </si>
  <si>
    <t>けいほくがくえんはくさん</t>
  </si>
  <si>
    <t>あべがくいん</t>
  </si>
  <si>
    <t>すんだいがくえん</t>
  </si>
  <si>
    <t>駿台学園中学校</t>
  </si>
  <si>
    <t>たきのがわじょしがくえん</t>
  </si>
  <si>
    <t>瀧野川女子学園中学校</t>
  </si>
  <si>
    <t>きたとしま</t>
  </si>
  <si>
    <t>北豊島中学校</t>
  </si>
  <si>
    <t>あいこく</t>
  </si>
  <si>
    <t>りっししゃ</t>
  </si>
  <si>
    <t>かえつありあけ</t>
  </si>
  <si>
    <t>かえつ有明中学校</t>
  </si>
  <si>
    <t>東京シューレ葛飾中学校</t>
  </si>
  <si>
    <t>とうきょうしゅーれかつしか</t>
    <phoneticPr fontId="5"/>
  </si>
  <si>
    <t>東京みらい中学校【新設】</t>
    <rPh sb="9" eb="11">
      <t>シンセツ</t>
    </rPh>
    <phoneticPr fontId="5"/>
  </si>
  <si>
    <t>とうきょうみらい</t>
    <phoneticPr fontId="5"/>
  </si>
  <si>
    <t>品川翔英高等学校</t>
    <rPh sb="0" eb="2">
      <t>シナガワ</t>
    </rPh>
    <rPh sb="2" eb="4">
      <t>ショウエイ</t>
    </rPh>
    <rPh sb="4" eb="6">
      <t>コウトウ</t>
    </rPh>
    <phoneticPr fontId="5"/>
  </si>
  <si>
    <t>しながわしょうえい</t>
    <phoneticPr fontId="5"/>
  </si>
  <si>
    <t>品川翔英中学校</t>
    <rPh sb="0" eb="2">
      <t>シナガワ</t>
    </rPh>
    <rPh sb="2" eb="4">
      <t>ショウエイ</t>
    </rPh>
    <rPh sb="4" eb="7">
      <t>チュウガッコウ</t>
    </rPh>
    <phoneticPr fontId="5"/>
  </si>
  <si>
    <t>品川翔英高等学校</t>
  </si>
  <si>
    <t>しながわじょしがくいん</t>
  </si>
  <si>
    <t>品川女子学院中等部</t>
  </si>
  <si>
    <t>せいりょう</t>
  </si>
  <si>
    <t>青稜中学校</t>
  </si>
  <si>
    <t>ぶんきょうだいがくふぞく</t>
  </si>
  <si>
    <t>文教大学付属中学校</t>
  </si>
  <si>
    <t>目黒日本大学高等学校</t>
    <rPh sb="0" eb="2">
      <t>メグロ</t>
    </rPh>
    <rPh sb="2" eb="4">
      <t>ニホン</t>
    </rPh>
    <rPh sb="4" eb="6">
      <t>ダイガク</t>
    </rPh>
    <phoneticPr fontId="5"/>
  </si>
  <si>
    <t>めぐろにほんだいがく</t>
    <phoneticPr fontId="5"/>
  </si>
  <si>
    <t>目黒日本大学中学校</t>
    <rPh sb="0" eb="2">
      <t>メグロ</t>
    </rPh>
    <rPh sb="2" eb="4">
      <t>ニホン</t>
    </rPh>
    <rPh sb="4" eb="6">
      <t>ダイガク</t>
    </rPh>
    <phoneticPr fontId="5"/>
  </si>
  <si>
    <t>目黒日本大学高等学校</t>
  </si>
  <si>
    <t>清明学園中学校</t>
    <phoneticPr fontId="5"/>
  </si>
  <si>
    <t>せいめいがくえん</t>
  </si>
  <si>
    <t>清明学園中学校</t>
  </si>
  <si>
    <t>とうきょう</t>
  </si>
  <si>
    <t>とうきょうじつぎょう</t>
  </si>
  <si>
    <t>明晴学園中学部【特別支援】</t>
    <rPh sb="8" eb="10">
      <t>トクベツ</t>
    </rPh>
    <rPh sb="10" eb="12">
      <t>シエン</t>
    </rPh>
    <phoneticPr fontId="5"/>
  </si>
  <si>
    <t>明晴学園中学部【特別支援】</t>
  </si>
  <si>
    <t>かがくぎじゅつがくえん</t>
  </si>
  <si>
    <t>定・通</t>
  </si>
  <si>
    <t>こくしかん</t>
  </si>
  <si>
    <t>全・定</t>
    <phoneticPr fontId="5"/>
  </si>
  <si>
    <t>国士舘中学校</t>
  </si>
  <si>
    <t>たまがわせいがくいん</t>
  </si>
  <si>
    <t>玉川聖学院中等部</t>
  </si>
  <si>
    <t>日本聾話学校中学部【特別支援】</t>
    <phoneticPr fontId="5"/>
  </si>
  <si>
    <t>にっぽんろうわがっこう</t>
  </si>
  <si>
    <t>日本聾話学校中学部【特別支援】</t>
  </si>
  <si>
    <t>ほりこし</t>
  </si>
  <si>
    <t>しょうわてつどう</t>
  </si>
  <si>
    <t>としまがくいん</t>
  </si>
  <si>
    <t>じょうほく</t>
  </si>
  <si>
    <t>あさひでようごがっこう</t>
  </si>
  <si>
    <t>旭出学園（特別支援学校）中学部【特別支援】</t>
    <phoneticPr fontId="5"/>
  </si>
  <si>
    <t>旭出学園（特別支援学校）高等部【特別支援】</t>
  </si>
  <si>
    <t>とうきょうじょしがくいん</t>
  </si>
  <si>
    <t>東京女子学院中学校</t>
  </si>
  <si>
    <t>自由学園高等部</t>
  </si>
  <si>
    <t>自由学園男子部中等科【休校】</t>
    <rPh sb="11" eb="13">
      <t>キュウコウ</t>
    </rPh>
    <phoneticPr fontId="5"/>
  </si>
  <si>
    <t>じゆうがくえんだんしぶ</t>
    <phoneticPr fontId="5"/>
  </si>
  <si>
    <t>こっか</t>
  </si>
  <si>
    <t>国華中学校【休校】</t>
    <phoneticPr fontId="5"/>
  </si>
  <si>
    <t>国華高等学校【休校】</t>
  </si>
  <si>
    <t>すがもしょうぎょう</t>
  </si>
  <si>
    <t>せいぱうろがくえん</t>
    <phoneticPr fontId="5"/>
  </si>
  <si>
    <t>サレジオ中学校</t>
  </si>
  <si>
    <t>されじお</t>
    <phoneticPr fontId="5"/>
  </si>
  <si>
    <t>めいほう</t>
  </si>
  <si>
    <t>ＮＨＫ学園高等学校</t>
    <phoneticPr fontId="5"/>
  </si>
  <si>
    <t>えぬえっちけいがくえん</t>
    <phoneticPr fontId="5"/>
  </si>
  <si>
    <t>えいめいかん</t>
  </si>
  <si>
    <t>武蔵野東中学校</t>
  </si>
  <si>
    <t>むさしのひがし</t>
  </si>
  <si>
    <t>叡明館中学校【休校】</t>
    <phoneticPr fontId="5"/>
  </si>
  <si>
    <t>叡明館高等学校【休校】</t>
  </si>
  <si>
    <t>ふくいこうぎょうだいがくふぞくふくい</t>
  </si>
  <si>
    <t>けいしん</t>
  </si>
  <si>
    <t>ふくいみなみ</t>
  </si>
  <si>
    <t>かつやま子どもの村中学校</t>
  </si>
  <si>
    <t>かつやまこどものむら</t>
  </si>
  <si>
    <t>きのくに子どもの村中学校</t>
  </si>
  <si>
    <t>AOIKE高等学校</t>
    <rPh sb="5" eb="7">
      <t>コウトウ</t>
    </rPh>
    <rPh sb="7" eb="9">
      <t>ガッコウ</t>
    </rPh>
    <phoneticPr fontId="5"/>
  </si>
  <si>
    <t>あおいけがくえん</t>
    <phoneticPr fontId="5"/>
  </si>
  <si>
    <t>甲斐清和（せいか）高等学校</t>
    <phoneticPr fontId="5"/>
  </si>
  <si>
    <t>かいせいか</t>
  </si>
  <si>
    <t>甲府湯田中学校【休校】</t>
    <phoneticPr fontId="5"/>
  </si>
  <si>
    <t>こうふゆだ</t>
  </si>
  <si>
    <t>甲斐清和（せいか）高等学校</t>
  </si>
  <si>
    <t>やまなしえいわ</t>
  </si>
  <si>
    <t>山梨英和中学校</t>
  </si>
  <si>
    <t>山梨学院高等学校</t>
    <phoneticPr fontId="5"/>
  </si>
  <si>
    <t>やまなしがくいん</t>
    <phoneticPr fontId="5"/>
  </si>
  <si>
    <t>山梨学院中学校</t>
    <phoneticPr fontId="5"/>
  </si>
  <si>
    <t>すんだいこうふ</t>
  </si>
  <si>
    <t>駿台甲府中学校</t>
  </si>
  <si>
    <t>にほんこうくう</t>
  </si>
  <si>
    <t>日本航空高等学校附属中学校</t>
    <rPh sb="8" eb="10">
      <t>フゾク</t>
    </rPh>
    <phoneticPr fontId="5"/>
  </si>
  <si>
    <t>にほんこうくうこうとうがっこうふぞく</t>
  </si>
  <si>
    <t>しぜんがくえん</t>
  </si>
  <si>
    <t>南アルプス子どもの村中学校</t>
    <rPh sb="0" eb="1">
      <t>ミナミ</t>
    </rPh>
    <rPh sb="5" eb="6">
      <t>コ</t>
    </rPh>
    <rPh sb="9" eb="10">
      <t>ムラ</t>
    </rPh>
    <rPh sb="10" eb="13">
      <t>チュウガッコウ</t>
    </rPh>
    <phoneticPr fontId="5"/>
  </si>
  <si>
    <t>みなみあるぷすこどものむら</t>
    <phoneticPr fontId="5"/>
  </si>
  <si>
    <t>素和美中学校</t>
    <rPh sb="3" eb="6">
      <t>チュウガッコウ</t>
    </rPh>
    <phoneticPr fontId="5"/>
  </si>
  <si>
    <t>すおみ</t>
    <phoneticPr fontId="5"/>
  </si>
  <si>
    <t>素和美中学校</t>
  </si>
  <si>
    <t>長野日本大学高等学校</t>
    <phoneticPr fontId="5"/>
  </si>
  <si>
    <t>ながのにほんだいがく</t>
  </si>
  <si>
    <t>長野日本大学中学校</t>
  </si>
  <si>
    <t>松本国際高等学校</t>
    <rPh sb="0" eb="2">
      <t>マツモト</t>
    </rPh>
    <rPh sb="2" eb="4">
      <t>コクサイ</t>
    </rPh>
    <phoneticPr fontId="5"/>
  </si>
  <si>
    <t>まつもとこくさい</t>
    <phoneticPr fontId="5"/>
  </si>
  <si>
    <t>松本国際中学校</t>
    <rPh sb="0" eb="2">
      <t>マツモト</t>
    </rPh>
    <rPh sb="2" eb="4">
      <t>コクサイ</t>
    </rPh>
    <rPh sb="4" eb="5">
      <t>チュウ</t>
    </rPh>
    <phoneticPr fontId="5"/>
  </si>
  <si>
    <t>松本国際高等学校</t>
  </si>
  <si>
    <t>長野俊英高等学校</t>
    <phoneticPr fontId="5"/>
  </si>
  <si>
    <t>ながのしゅんえい</t>
  </si>
  <si>
    <t>いいだじょし</t>
  </si>
  <si>
    <t>ちきゅうかんきょう</t>
  </si>
  <si>
    <t>しなのむつみ</t>
  </si>
  <si>
    <t>グリーン・ヒルズ中学校</t>
  </si>
  <si>
    <t>ぐりーん・ひるず</t>
    <phoneticPr fontId="5"/>
  </si>
  <si>
    <t>コードアカデミー高等学校</t>
    <rPh sb="8" eb="10">
      <t>コウトウ</t>
    </rPh>
    <rPh sb="10" eb="12">
      <t>ガッコウ</t>
    </rPh>
    <phoneticPr fontId="5"/>
  </si>
  <si>
    <t>こーどあかでみー</t>
    <phoneticPr fontId="5"/>
  </si>
  <si>
    <t>さくら国際高等学校</t>
    <rPh sb="3" eb="5">
      <t>コクサイ</t>
    </rPh>
    <rPh sb="5" eb="7">
      <t>コウトウ</t>
    </rPh>
    <rPh sb="7" eb="9">
      <t>ガッコウ</t>
    </rPh>
    <phoneticPr fontId="5"/>
  </si>
  <si>
    <t>さくらこくさい</t>
    <phoneticPr fontId="5"/>
  </si>
  <si>
    <t>つくば開成学園高等学校</t>
    <rPh sb="3" eb="5">
      <t>カイセイ</t>
    </rPh>
    <rPh sb="5" eb="7">
      <t>ガクエン</t>
    </rPh>
    <rPh sb="7" eb="9">
      <t>コウトウ</t>
    </rPh>
    <rPh sb="9" eb="11">
      <t>ガッコウ</t>
    </rPh>
    <phoneticPr fontId="5"/>
  </si>
  <si>
    <t>つくばかいせいがくえん</t>
    <phoneticPr fontId="5"/>
  </si>
  <si>
    <t>ＩＤ学園高等学校</t>
    <rPh sb="2" eb="4">
      <t>ガクエン</t>
    </rPh>
    <rPh sb="4" eb="6">
      <t>コウトウ</t>
    </rPh>
    <rPh sb="6" eb="8">
      <t>ガッコウ</t>
    </rPh>
    <phoneticPr fontId="5"/>
  </si>
  <si>
    <t>あいでぃがくえん</t>
    <phoneticPr fontId="5"/>
  </si>
  <si>
    <t>緑誠蘭高等学校</t>
    <rPh sb="0" eb="1">
      <t>ミドリ</t>
    </rPh>
    <rPh sb="1" eb="2">
      <t>マコト</t>
    </rPh>
    <rPh sb="2" eb="3">
      <t>ラン</t>
    </rPh>
    <rPh sb="3" eb="5">
      <t>コウトウ</t>
    </rPh>
    <rPh sb="5" eb="7">
      <t>ガッコウ</t>
    </rPh>
    <phoneticPr fontId="5"/>
  </si>
  <si>
    <t>りょくせいらん</t>
    <phoneticPr fontId="5"/>
  </si>
  <si>
    <t>大日向中学校</t>
    <rPh sb="0" eb="3">
      <t>オオヒナタ</t>
    </rPh>
    <rPh sb="3" eb="6">
      <t>チュウガッコウ</t>
    </rPh>
    <phoneticPr fontId="5"/>
  </si>
  <si>
    <t>おおひなた</t>
    <phoneticPr fontId="5"/>
  </si>
  <si>
    <t>大日向中学校</t>
  </si>
  <si>
    <t>才教学園中学校</t>
  </si>
  <si>
    <t>さいきょうがくえん</t>
  </si>
  <si>
    <t>天龍興譲高等学校</t>
    <phoneticPr fontId="5"/>
  </si>
  <si>
    <t>てんりゅうこうじょう</t>
  </si>
  <si>
    <t>どんぐり向方中学校</t>
  </si>
  <si>
    <t>どんぐりむかがた</t>
  </si>
  <si>
    <t>軽井沢風越義務教育学校（コードのみ付与）</t>
    <rPh sb="0" eb="3">
      <t>カルイザワ</t>
    </rPh>
    <rPh sb="3" eb="5">
      <t>カザコシ</t>
    </rPh>
    <rPh sb="5" eb="7">
      <t>ギム</t>
    </rPh>
    <rPh sb="7" eb="9">
      <t>キョウイク</t>
    </rPh>
    <rPh sb="9" eb="11">
      <t>ガツコウ</t>
    </rPh>
    <phoneticPr fontId="5"/>
  </si>
  <si>
    <t>軽井沢風越義務教育学校（コードのみ付与）</t>
  </si>
  <si>
    <t>ステップ高等学校</t>
    <phoneticPr fontId="5"/>
  </si>
  <si>
    <t>すてっぷ</t>
    <phoneticPr fontId="5"/>
  </si>
  <si>
    <t>ステップ高等学校</t>
  </si>
  <si>
    <t>中京高等学校</t>
    <rPh sb="0" eb="2">
      <t>チュウキョウ</t>
    </rPh>
    <phoneticPr fontId="5"/>
  </si>
  <si>
    <t>ちゅうきょう</t>
    <phoneticPr fontId="5"/>
  </si>
  <si>
    <t>中京高等学校</t>
  </si>
  <si>
    <t>じょうなん</t>
    <phoneticPr fontId="5"/>
  </si>
  <si>
    <t>ぎふこくさい</t>
  </si>
  <si>
    <t>清凌高等学校</t>
    <rPh sb="0" eb="1">
      <t>セイ</t>
    </rPh>
    <rPh sb="1" eb="2">
      <t>タカシ</t>
    </rPh>
    <rPh sb="2" eb="4">
      <t>コウトウ</t>
    </rPh>
    <rPh sb="4" eb="6">
      <t>ガッコウ</t>
    </rPh>
    <phoneticPr fontId="5"/>
  </si>
  <si>
    <t>せいりょう</t>
    <phoneticPr fontId="5"/>
  </si>
  <si>
    <t>啓晴高等学校</t>
    <rPh sb="0" eb="2">
      <t>ケイセイ</t>
    </rPh>
    <rPh sb="2" eb="4">
      <t>コウトウ</t>
    </rPh>
    <rPh sb="4" eb="6">
      <t>ガッコウ</t>
    </rPh>
    <phoneticPr fontId="5"/>
  </si>
  <si>
    <t>けいせい</t>
    <phoneticPr fontId="5"/>
  </si>
  <si>
    <t>西濃桃李高等学校</t>
    <rPh sb="0" eb="2">
      <t>セイノウ</t>
    </rPh>
    <rPh sb="2" eb="4">
      <t>トウリ</t>
    </rPh>
    <rPh sb="4" eb="6">
      <t>コウトウ</t>
    </rPh>
    <rPh sb="6" eb="8">
      <t>ガッコウ</t>
    </rPh>
    <phoneticPr fontId="5"/>
  </si>
  <si>
    <t>せいのうとうり</t>
    <phoneticPr fontId="5"/>
  </si>
  <si>
    <t>ぬまづちゅうおう</t>
  </si>
  <si>
    <t>ひりゅう</t>
  </si>
  <si>
    <t>キラリ高等学校</t>
    <phoneticPr fontId="5"/>
  </si>
  <si>
    <t>きらり</t>
  </si>
  <si>
    <t>しずおかがくえんなごみ</t>
    <phoneticPr fontId="5"/>
  </si>
  <si>
    <t>静岡学園なごみ高等学校【新設】</t>
  </si>
  <si>
    <t>とくべつしえんがっこうねむのき</t>
  </si>
  <si>
    <t>特別支援学校ねむの木中学部【特別支援】</t>
    <phoneticPr fontId="5"/>
  </si>
  <si>
    <t>特別支援学校ねむの木高等部【特別支援】</t>
  </si>
  <si>
    <t>きくかわなんりょう</t>
  </si>
  <si>
    <t>和歌山南陵高等学校【募集停止】</t>
  </si>
  <si>
    <t>ちゅうきょうだいがくふぞくちゅうきょう</t>
  </si>
  <si>
    <t>名古屋たちばな高等学校</t>
    <rPh sb="0" eb="3">
      <t>ナゴヤ</t>
    </rPh>
    <rPh sb="7" eb="11">
      <t>コウトウガッコウ</t>
    </rPh>
    <phoneticPr fontId="5"/>
  </si>
  <si>
    <t>なごやたちばな</t>
    <phoneticPr fontId="5"/>
  </si>
  <si>
    <t>名古屋たちばな高等学校</t>
  </si>
  <si>
    <t>きくか</t>
  </si>
  <si>
    <t>愛知黎明高等学校</t>
    <rPh sb="0" eb="2">
      <t>アイチ</t>
    </rPh>
    <rPh sb="2" eb="4">
      <t>レイメイ</t>
    </rPh>
    <phoneticPr fontId="5"/>
  </si>
  <si>
    <t>あいちれいめい</t>
    <phoneticPr fontId="5"/>
  </si>
  <si>
    <t>愛知黎明高等学校</t>
  </si>
  <si>
    <t>せいしん</t>
  </si>
  <si>
    <t>人間環境大学附属岡崎高等学校</t>
  </si>
  <si>
    <t>あいちさんぎょうだいがくみかわ</t>
  </si>
  <si>
    <t>星槎名古屋中学校</t>
    <rPh sb="2" eb="5">
      <t>ナゴヤ</t>
    </rPh>
    <rPh sb="5" eb="6">
      <t>ナカ</t>
    </rPh>
    <phoneticPr fontId="5"/>
  </si>
  <si>
    <t>せいさなごや</t>
    <phoneticPr fontId="5"/>
  </si>
  <si>
    <t>四日市メリノール学院高等学校</t>
    <rPh sb="0" eb="3">
      <t>ヨッカイチ</t>
    </rPh>
    <phoneticPr fontId="5"/>
  </si>
  <si>
    <t>よっかいちめりのーるがくいん</t>
    <phoneticPr fontId="5"/>
  </si>
  <si>
    <t>四日市メリノール学院中学校</t>
    <rPh sb="0" eb="3">
      <t>ヨッカイチ</t>
    </rPh>
    <phoneticPr fontId="5"/>
  </si>
  <si>
    <t>四日市メリノール学院高等学校</t>
  </si>
  <si>
    <t>あいのうがくえんのうぎょう</t>
  </si>
  <si>
    <t>青山高等学校</t>
  </si>
  <si>
    <t>おおはしがくえん</t>
  </si>
  <si>
    <t>とくふう　</t>
  </si>
  <si>
    <t>えいしん</t>
  </si>
  <si>
    <t>英心高等学校桔梗が丘校　（分校）</t>
    <rPh sb="6" eb="8">
      <t>キキョウ</t>
    </rPh>
    <rPh sb="9" eb="10">
      <t>オカ</t>
    </rPh>
    <rPh sb="10" eb="11">
      <t>コウ</t>
    </rPh>
    <rPh sb="13" eb="15">
      <t>ブンコウ</t>
    </rPh>
    <phoneticPr fontId="5"/>
  </si>
  <si>
    <t>えいしんこうこうききょうがおか</t>
    <phoneticPr fontId="5"/>
  </si>
  <si>
    <t>一志学園高等学校</t>
    <rPh sb="0" eb="1">
      <t>1</t>
    </rPh>
    <rPh sb="1" eb="2">
      <t>ココロザシ</t>
    </rPh>
    <rPh sb="2" eb="4">
      <t>ガクエン</t>
    </rPh>
    <rPh sb="4" eb="6">
      <t>コウトウ</t>
    </rPh>
    <rPh sb="6" eb="8">
      <t>ガッコウ</t>
    </rPh>
    <phoneticPr fontId="5"/>
  </si>
  <si>
    <t>いちしがくえん</t>
    <phoneticPr fontId="5"/>
  </si>
  <si>
    <t>とくべつしえんがっこうせいぼのいえがくえん</t>
  </si>
  <si>
    <t>特別支援学校聖母の家学園中学部【特別支援】</t>
    <phoneticPr fontId="5"/>
  </si>
  <si>
    <t>特別支援学校部聖母の家学園高等部【特別支援】</t>
  </si>
  <si>
    <t>代々木高等学校</t>
    <rPh sb="0" eb="3">
      <t>ヨヨギ</t>
    </rPh>
    <rPh sb="3" eb="5">
      <t>コウトウ</t>
    </rPh>
    <rPh sb="5" eb="7">
      <t>ガッコウ</t>
    </rPh>
    <phoneticPr fontId="5"/>
  </si>
  <si>
    <t>よよぎ</t>
    <phoneticPr fontId="5"/>
  </si>
  <si>
    <t>神村学園高等部伊賀分校</t>
    <rPh sb="7" eb="11">
      <t>イガブンコウ</t>
    </rPh>
    <phoneticPr fontId="5"/>
  </si>
  <si>
    <t>かみむらがくえん</t>
  </si>
  <si>
    <t>あやは</t>
  </si>
  <si>
    <t>全・定・通</t>
    <phoneticPr fontId="5"/>
  </si>
  <si>
    <t>しががくえん</t>
  </si>
  <si>
    <t>いーしーしーがくえん</t>
    <phoneticPr fontId="5"/>
  </si>
  <si>
    <t>ECC学園高等学校【新設】</t>
  </si>
  <si>
    <t>きょうとにしやま</t>
  </si>
  <si>
    <t>きょうときょうえいがくえん</t>
  </si>
  <si>
    <t>京都共栄学園中学校</t>
  </si>
  <si>
    <t>きょうとせいかたりな</t>
    <phoneticPr fontId="5"/>
  </si>
  <si>
    <t>にっせい</t>
  </si>
  <si>
    <t>京都廣学館高等学校</t>
    <rPh sb="2" eb="3">
      <t>コウ</t>
    </rPh>
    <rPh sb="3" eb="5">
      <t>ガッカン</t>
    </rPh>
    <rPh sb="5" eb="7">
      <t>コウトウ</t>
    </rPh>
    <phoneticPr fontId="5"/>
  </si>
  <si>
    <t>きょうとこうがくかん</t>
    <phoneticPr fontId="5"/>
  </si>
  <si>
    <t>京都廣学館高等学校</t>
  </si>
  <si>
    <t>きょうとせいしょう</t>
  </si>
  <si>
    <t>きょうとしょうえい</t>
  </si>
  <si>
    <t>きょうとみやま</t>
  </si>
  <si>
    <t>京都つくば開成高等学校</t>
    <rPh sb="0" eb="2">
      <t>キョウト</t>
    </rPh>
    <rPh sb="5" eb="7">
      <t>カイセイ</t>
    </rPh>
    <rPh sb="7" eb="9">
      <t>コウトウ</t>
    </rPh>
    <rPh sb="9" eb="11">
      <t>ガッコウ</t>
    </rPh>
    <phoneticPr fontId="5"/>
  </si>
  <si>
    <t>きょうとつくばかいせい</t>
    <phoneticPr fontId="5"/>
  </si>
  <si>
    <t>京都芸術大学附属高等学校</t>
    <rPh sb="0" eb="2">
      <t>キョウト</t>
    </rPh>
    <rPh sb="2" eb="4">
      <t>ゲイジュツ</t>
    </rPh>
    <rPh sb="4" eb="6">
      <t>ダイガク</t>
    </rPh>
    <rPh sb="6" eb="8">
      <t>フゾク</t>
    </rPh>
    <rPh sb="8" eb="10">
      <t>コウトウ</t>
    </rPh>
    <rPh sb="10" eb="12">
      <t>ガッコウ</t>
    </rPh>
    <phoneticPr fontId="5"/>
  </si>
  <si>
    <t>きょうとげいじゅつだいがくふぞく</t>
    <phoneticPr fontId="5"/>
  </si>
  <si>
    <t>きょうとながおだに</t>
    <phoneticPr fontId="5"/>
  </si>
  <si>
    <t>しゅうおう</t>
  </si>
  <si>
    <t>しょういん</t>
  </si>
  <si>
    <t>せいかがくえん</t>
  </si>
  <si>
    <t>アナン学園高等学校</t>
    <rPh sb="3" eb="5">
      <t>ガクエン</t>
    </rPh>
    <phoneticPr fontId="5"/>
  </si>
  <si>
    <t>あなんがくえん</t>
    <phoneticPr fontId="5"/>
  </si>
  <si>
    <t>大阪暁光高等学校</t>
    <rPh sb="0" eb="2">
      <t>オオサカ</t>
    </rPh>
    <rPh sb="2" eb="4">
      <t>ギョウコウ</t>
    </rPh>
    <phoneticPr fontId="5"/>
  </si>
  <si>
    <t>おおさかぎょうこう</t>
    <phoneticPr fontId="5"/>
  </si>
  <si>
    <t>けんめいがくいん</t>
  </si>
  <si>
    <t>賢明学院中学校</t>
  </si>
  <si>
    <t>てんのうじがっかん</t>
  </si>
  <si>
    <t>わいえむしーえいがくいん</t>
    <phoneticPr fontId="5"/>
  </si>
  <si>
    <t>こうようだい</t>
  </si>
  <si>
    <t>やしまがくえん</t>
  </si>
  <si>
    <t>福岡女子商業高等学校</t>
  </si>
  <si>
    <t>ながおだに</t>
  </si>
  <si>
    <t>神須学園高等学校</t>
    <rPh sb="0" eb="1">
      <t>カミ</t>
    </rPh>
    <rPh sb="1" eb="2">
      <t>ス</t>
    </rPh>
    <rPh sb="2" eb="4">
      <t>ガクエン</t>
    </rPh>
    <rPh sb="4" eb="6">
      <t>コウトウ</t>
    </rPh>
    <rPh sb="6" eb="8">
      <t>ガッコウ</t>
    </rPh>
    <phoneticPr fontId="5"/>
  </si>
  <si>
    <t>こうずがくえん</t>
    <phoneticPr fontId="5"/>
  </si>
  <si>
    <t>英風高等学校</t>
    <rPh sb="0" eb="1">
      <t>エイ</t>
    </rPh>
    <rPh sb="1" eb="2">
      <t>フウ</t>
    </rPh>
    <rPh sb="2" eb="4">
      <t>コウトウ</t>
    </rPh>
    <rPh sb="4" eb="6">
      <t>ガッコウ</t>
    </rPh>
    <phoneticPr fontId="5"/>
  </si>
  <si>
    <t>えいふう</t>
    <phoneticPr fontId="5"/>
  </si>
  <si>
    <t>大阪つくば開成高等学校</t>
    <rPh sb="0" eb="2">
      <t>オオサカ</t>
    </rPh>
    <rPh sb="5" eb="7">
      <t>カイセイ</t>
    </rPh>
    <rPh sb="7" eb="9">
      <t>コウトウ</t>
    </rPh>
    <rPh sb="9" eb="11">
      <t>ガッコウ</t>
    </rPh>
    <phoneticPr fontId="5"/>
  </si>
  <si>
    <t>おおさかつくばかいせい</t>
    <phoneticPr fontId="5"/>
  </si>
  <si>
    <t>東朋学園高等学校</t>
    <rPh sb="0" eb="1">
      <t>ヒガシ</t>
    </rPh>
    <rPh sb="1" eb="2">
      <t>ホウ</t>
    </rPh>
    <rPh sb="2" eb="4">
      <t>ガクエン</t>
    </rPh>
    <rPh sb="4" eb="6">
      <t>コウトウ</t>
    </rPh>
    <rPh sb="6" eb="8">
      <t>ガッコウ</t>
    </rPh>
    <phoneticPr fontId="5"/>
  </si>
  <si>
    <t>とうほうがくえん</t>
    <phoneticPr fontId="5"/>
  </si>
  <si>
    <t>近畿大阪高等学校</t>
    <rPh sb="0" eb="2">
      <t>キンキ</t>
    </rPh>
    <rPh sb="2" eb="4">
      <t>オオサカ</t>
    </rPh>
    <rPh sb="4" eb="8">
      <t>コウトウガッコウ</t>
    </rPh>
    <phoneticPr fontId="5"/>
  </si>
  <si>
    <t>きんきおおさか</t>
    <phoneticPr fontId="5"/>
  </si>
  <si>
    <t>近畿大阪高等学校</t>
  </si>
  <si>
    <t>じゆうがおか</t>
    <phoneticPr fontId="5"/>
  </si>
  <si>
    <t>ならじょし</t>
  </si>
  <si>
    <t>奈良女子中学校【休校】</t>
    <phoneticPr fontId="5"/>
  </si>
  <si>
    <t>てんり</t>
  </si>
  <si>
    <t>天理中学校</t>
  </si>
  <si>
    <t>ならぶんか</t>
  </si>
  <si>
    <t>あすかみらい</t>
  </si>
  <si>
    <t>関西文化芸術高等学校</t>
    <rPh sb="0" eb="2">
      <t>カンサイ</t>
    </rPh>
    <rPh sb="2" eb="4">
      <t>ブンカ</t>
    </rPh>
    <rPh sb="4" eb="6">
      <t>ゲイジュツ</t>
    </rPh>
    <rPh sb="6" eb="8">
      <t>コウトウ</t>
    </rPh>
    <rPh sb="8" eb="10">
      <t>ガッコウ</t>
    </rPh>
    <phoneticPr fontId="5"/>
  </si>
  <si>
    <t>かんさいぶんかげいじゅつ</t>
    <phoneticPr fontId="5"/>
  </si>
  <si>
    <t>日本教育学院高等学校</t>
    <rPh sb="0" eb="2">
      <t>ニホン</t>
    </rPh>
    <rPh sb="2" eb="4">
      <t>キョウイク</t>
    </rPh>
    <rPh sb="4" eb="6">
      <t>ガクイン</t>
    </rPh>
    <rPh sb="6" eb="8">
      <t>コウトウ</t>
    </rPh>
    <rPh sb="8" eb="10">
      <t>ガッコウ</t>
    </rPh>
    <phoneticPr fontId="5"/>
  </si>
  <si>
    <t>にほんきょういくがくいん</t>
    <phoneticPr fontId="5"/>
  </si>
  <si>
    <t>和歌山信愛高等学校</t>
    <phoneticPr fontId="5"/>
  </si>
  <si>
    <t>わかやましんあい</t>
    <phoneticPr fontId="5"/>
  </si>
  <si>
    <t>和歌山信愛中学校</t>
    <phoneticPr fontId="5"/>
  </si>
  <si>
    <t>こうやさん</t>
  </si>
  <si>
    <t>わかやまなんりょう</t>
    <phoneticPr fontId="5"/>
  </si>
  <si>
    <t>きのくにこどものむら</t>
  </si>
  <si>
    <t>けいふう</t>
  </si>
  <si>
    <t>よなごきた</t>
  </si>
  <si>
    <t>湯梨浜学園高等学校</t>
    <rPh sb="3" eb="5">
      <t>ガクエン</t>
    </rPh>
    <phoneticPr fontId="5"/>
  </si>
  <si>
    <t>ゆりはま</t>
  </si>
  <si>
    <t>湯梨浜学園中学校</t>
    <rPh sb="3" eb="5">
      <t>ガクエン</t>
    </rPh>
    <phoneticPr fontId="5"/>
  </si>
  <si>
    <t>湯梨浜学園高等学校</t>
  </si>
  <si>
    <t>そうしがくえん</t>
  </si>
  <si>
    <t>おかやまりかだいがくふぞく</t>
  </si>
  <si>
    <t>岡山理科大学附属中学校</t>
  </si>
  <si>
    <t>くらしきすいしょう</t>
  </si>
  <si>
    <t>こうじょうかん</t>
  </si>
  <si>
    <t>おかやまけんみまさか</t>
  </si>
  <si>
    <t>鹿島朝日高等学校</t>
    <rPh sb="0" eb="2">
      <t>カシマ</t>
    </rPh>
    <rPh sb="2" eb="4">
      <t>アサヒ</t>
    </rPh>
    <rPh sb="4" eb="6">
      <t>コウトウ</t>
    </rPh>
    <rPh sb="6" eb="8">
      <t>ガッコウ</t>
    </rPh>
    <phoneticPr fontId="5"/>
  </si>
  <si>
    <t>かしまあさひ</t>
    <phoneticPr fontId="5"/>
  </si>
  <si>
    <t>滋慶学園高等学校</t>
    <rPh sb="0" eb="2">
      <t>ジケイ</t>
    </rPh>
    <rPh sb="2" eb="4">
      <t>ガクエン</t>
    </rPh>
    <rPh sb="4" eb="6">
      <t>コウトウ</t>
    </rPh>
    <rPh sb="6" eb="8">
      <t>ガッコウ</t>
    </rPh>
    <phoneticPr fontId="5"/>
  </si>
  <si>
    <t>じけいがくえん</t>
    <phoneticPr fontId="5"/>
  </si>
  <si>
    <t>吉備高原希望中学校</t>
  </si>
  <si>
    <t>きびこうげんきぼう</t>
  </si>
  <si>
    <t>ワオ高等学校</t>
    <rPh sb="2" eb="4">
      <t>コウトウ</t>
    </rPh>
    <rPh sb="4" eb="6">
      <t>ガッコウ</t>
    </rPh>
    <phoneticPr fontId="5"/>
  </si>
  <si>
    <t>わお</t>
    <phoneticPr fontId="5"/>
  </si>
  <si>
    <t>ひろしまこうぎょうだいがく</t>
  </si>
  <si>
    <t>ひろしまけんせとうち</t>
  </si>
  <si>
    <t>ひろしましんじょう</t>
  </si>
  <si>
    <t>広島新庄中学校</t>
  </si>
  <si>
    <t>ひろしまこくさいがくいん</t>
  </si>
  <si>
    <t>広島国際学院中学校</t>
    <rPh sb="0" eb="2">
      <t>ヒロシマ</t>
    </rPh>
    <rPh sb="2" eb="4">
      <t>コクサイ</t>
    </rPh>
    <rPh sb="4" eb="6">
      <t>ガクイン</t>
    </rPh>
    <rPh sb="6" eb="9">
      <t>チュウガッコウ</t>
    </rPh>
    <phoneticPr fontId="5"/>
  </si>
  <si>
    <t>ひろしまこくさいがくいん</t>
    <phoneticPr fontId="5"/>
  </si>
  <si>
    <t>さんようじょがくえん</t>
  </si>
  <si>
    <t>山陽女学園中等部</t>
  </si>
  <si>
    <t>東林館高等学校</t>
    <phoneticPr fontId="5"/>
  </si>
  <si>
    <t>とうりんかん</t>
  </si>
  <si>
    <t>東林館高等学校呉分校</t>
    <phoneticPr fontId="5"/>
  </si>
  <si>
    <t>とうりんかんくれぶんこう</t>
  </si>
  <si>
    <t>なみきがくいん</t>
  </si>
  <si>
    <t>せいこう</t>
  </si>
  <si>
    <t>せいえい</t>
  </si>
  <si>
    <t>なかむらじょし</t>
  </si>
  <si>
    <t>やまぐちけんこうじょう</t>
  </si>
  <si>
    <t>ながと</t>
  </si>
  <si>
    <t>たかまつちゅうおう</t>
  </si>
  <si>
    <t>四国学院大学香川西高等学校</t>
    <rPh sb="0" eb="2">
      <t>シコク</t>
    </rPh>
    <rPh sb="2" eb="4">
      <t>ガクイン</t>
    </rPh>
    <rPh sb="4" eb="6">
      <t>ダイガク</t>
    </rPh>
    <phoneticPr fontId="5"/>
  </si>
  <si>
    <t>しこくがくいんだいがくかがわにし</t>
    <phoneticPr fontId="5"/>
  </si>
  <si>
    <t>村上学園高等学校</t>
    <rPh sb="0" eb="2">
      <t>ムラカミ</t>
    </rPh>
    <phoneticPr fontId="5"/>
  </si>
  <si>
    <t>むらかみがくえん</t>
    <phoneticPr fontId="5"/>
  </si>
  <si>
    <t>RITA学園高等学校</t>
    <rPh sb="4" eb="6">
      <t>ガクエン</t>
    </rPh>
    <rPh sb="6" eb="8">
      <t>コウトウ</t>
    </rPh>
    <rPh sb="8" eb="10">
      <t>ガッコウ</t>
    </rPh>
    <phoneticPr fontId="5"/>
  </si>
  <si>
    <t>りたがくえん</t>
    <phoneticPr fontId="5"/>
  </si>
  <si>
    <t>穴吹学園高等学校</t>
    <rPh sb="0" eb="2">
      <t>アナブキ</t>
    </rPh>
    <rPh sb="2" eb="4">
      <t>ガクエン</t>
    </rPh>
    <rPh sb="4" eb="6">
      <t>コウトウ</t>
    </rPh>
    <rPh sb="6" eb="8">
      <t>ガッコウ</t>
    </rPh>
    <phoneticPr fontId="5"/>
  </si>
  <si>
    <t>あなぶきがくえん</t>
    <phoneticPr fontId="5"/>
  </si>
  <si>
    <t>松山学院高等学校</t>
    <rPh sb="2" eb="4">
      <t>ガクイン</t>
    </rPh>
    <phoneticPr fontId="5"/>
  </si>
  <si>
    <t>まつやまがくいん</t>
    <phoneticPr fontId="5"/>
  </si>
  <si>
    <t>聖カタリナ学園高等学校</t>
    <rPh sb="5" eb="7">
      <t>ガクエン</t>
    </rPh>
    <phoneticPr fontId="5"/>
  </si>
  <si>
    <t>せいかたりながくえん</t>
    <phoneticPr fontId="5"/>
  </si>
  <si>
    <t>いまばりせいか</t>
  </si>
  <si>
    <t>みらい</t>
  </si>
  <si>
    <t>未来高等学校新居浜校</t>
    <phoneticPr fontId="5"/>
  </si>
  <si>
    <t>みらいにいはまこう</t>
    <phoneticPr fontId="5"/>
  </si>
  <si>
    <t>こうちちゅうおう</t>
  </si>
  <si>
    <t>たいへいようがくえん</t>
  </si>
  <si>
    <t>とくべつしえんがっこうひかりのむらとさしぜんがくえん</t>
    <phoneticPr fontId="5"/>
  </si>
  <si>
    <t>特別支援学校光の村土佐自然学園中等部【特別支援】</t>
    <rPh sb="0" eb="2">
      <t>トクベツ</t>
    </rPh>
    <rPh sb="2" eb="4">
      <t>シエン</t>
    </rPh>
    <rPh sb="4" eb="6">
      <t>ガッコウ</t>
    </rPh>
    <rPh sb="15" eb="16">
      <t>チュウ</t>
    </rPh>
    <phoneticPr fontId="5"/>
  </si>
  <si>
    <t>とくべつしえんがっこうひかりのむらとさしぜんがくえん</t>
  </si>
  <si>
    <t>じゅんしん</t>
  </si>
  <si>
    <t>せいかじょし</t>
  </si>
  <si>
    <t>はかた</t>
  </si>
  <si>
    <t>おりおあいしん</t>
  </si>
  <si>
    <t>みはぎのじょし</t>
  </si>
  <si>
    <t>久留米信愛高等学校</t>
    <rPh sb="3" eb="5">
      <t>シンアイ</t>
    </rPh>
    <phoneticPr fontId="5"/>
  </si>
  <si>
    <t>くるめしんあい</t>
    <phoneticPr fontId="5"/>
  </si>
  <si>
    <t>久留米信愛中学校</t>
    <phoneticPr fontId="5"/>
  </si>
  <si>
    <t>久留米信愛高等学校</t>
  </si>
  <si>
    <t>いいづか</t>
  </si>
  <si>
    <t>飯塚日新館中学校</t>
  </si>
  <si>
    <t>いいづかにっしんかん</t>
  </si>
  <si>
    <t>きんきだいがくふぞくふくおか</t>
  </si>
  <si>
    <t>やまとせいらん</t>
  </si>
  <si>
    <t>すぎもり</t>
  </si>
  <si>
    <t>やながわ</t>
  </si>
  <si>
    <t>ふくち</t>
  </si>
  <si>
    <t>きぼうがおか</t>
  </si>
  <si>
    <t>だいいちやっかだいがくふぞく</t>
  </si>
  <si>
    <t>小倉日新館中学校</t>
  </si>
  <si>
    <t>こくらにっしんかん</t>
  </si>
  <si>
    <t>つくば開成福岡高等学校</t>
    <rPh sb="3" eb="5">
      <t>カイセイ</t>
    </rPh>
    <rPh sb="5" eb="7">
      <t>フクオカ</t>
    </rPh>
    <rPh sb="7" eb="9">
      <t>コウトウ</t>
    </rPh>
    <rPh sb="9" eb="11">
      <t>ガッコウ</t>
    </rPh>
    <phoneticPr fontId="5"/>
  </si>
  <si>
    <t>つくばかいせいふくおか</t>
    <phoneticPr fontId="5"/>
  </si>
  <si>
    <t>北九州子どもの村中学校</t>
  </si>
  <si>
    <t>きたきゅうしゅうこどものむら</t>
  </si>
  <si>
    <t>福岡芸術高等学校</t>
    <rPh sb="0" eb="2">
      <t>フクオカ</t>
    </rPh>
    <rPh sb="2" eb="4">
      <t>ゲイジュツ</t>
    </rPh>
    <rPh sb="4" eb="8">
      <t>コウトウガッコウ</t>
    </rPh>
    <phoneticPr fontId="5"/>
  </si>
  <si>
    <t>ふくおかげいじゅつ</t>
    <phoneticPr fontId="5"/>
  </si>
  <si>
    <t>さがじょしたんきだいがくふぞくさがじょし</t>
  </si>
  <si>
    <t>けいとく</t>
  </si>
  <si>
    <t>ながさきぎょくせい</t>
  </si>
  <si>
    <t>ながさきなんざん</t>
  </si>
  <si>
    <t>長崎南山中学校</t>
  </si>
  <si>
    <t>きゅうしゅうぶんかがくえん</t>
  </si>
  <si>
    <t>こうよう</t>
  </si>
  <si>
    <t>させぼじつぎょう</t>
  </si>
  <si>
    <t>長崎精道中学校</t>
  </si>
  <si>
    <t>ながさきせいどう</t>
  </si>
  <si>
    <t>ながさき東そのぎ子どもの村中学校</t>
    <rPh sb="4" eb="5">
      <t>ヒガシ</t>
    </rPh>
    <rPh sb="8" eb="9">
      <t>コ</t>
    </rPh>
    <rPh sb="12" eb="13">
      <t>ムラ</t>
    </rPh>
    <rPh sb="13" eb="16">
      <t>チュウガッコウ</t>
    </rPh>
    <phoneticPr fontId="5"/>
  </si>
  <si>
    <t>ながさきひがしそのぎこどものむら</t>
    <phoneticPr fontId="5"/>
  </si>
  <si>
    <t>こころ未来高等学校</t>
    <rPh sb="3" eb="5">
      <t>ミライ</t>
    </rPh>
    <rPh sb="5" eb="7">
      <t>コウトウ</t>
    </rPh>
    <rPh sb="7" eb="9">
      <t>ガッコウ</t>
    </rPh>
    <phoneticPr fontId="5"/>
  </si>
  <si>
    <t>こころみらい</t>
    <phoneticPr fontId="5"/>
  </si>
  <si>
    <t>聖マリア学院中学校【休校】</t>
    <rPh sb="10" eb="12">
      <t>キュウコウ</t>
    </rPh>
    <phoneticPr fontId="5"/>
  </si>
  <si>
    <t>せいまりあがくいん</t>
    <phoneticPr fontId="5"/>
  </si>
  <si>
    <t>聖マリア学院中学校【休校】</t>
  </si>
  <si>
    <t>くまもとちゅうおう</t>
  </si>
  <si>
    <t>たまなじょし</t>
  </si>
  <si>
    <t>ありあけ</t>
  </si>
  <si>
    <t>ゆうしこくさい</t>
  </si>
  <si>
    <t>くまもと清陵高等学校</t>
    <rPh sb="4" eb="6">
      <t>セイリョウ</t>
    </rPh>
    <rPh sb="6" eb="8">
      <t>コウトウ</t>
    </rPh>
    <rPh sb="8" eb="10">
      <t>ガッコウ</t>
    </rPh>
    <phoneticPr fontId="5"/>
  </si>
  <si>
    <t>くまもとせいりょう</t>
    <phoneticPr fontId="5"/>
  </si>
  <si>
    <t>おおいたとうめい</t>
  </si>
  <si>
    <t>向陽中学校</t>
  </si>
  <si>
    <t>おおいた</t>
  </si>
  <si>
    <t>べっぷみぞべがくえん</t>
  </si>
  <si>
    <t>しょうわがくえん</t>
  </si>
  <si>
    <t>とういん</t>
  </si>
  <si>
    <t>明豊中学校</t>
  </si>
  <si>
    <t>やなぎがうら</t>
  </si>
  <si>
    <t>稲葉学園高等学校</t>
    <rPh sb="0" eb="4">
      <t>イナバガクエン</t>
    </rPh>
    <phoneticPr fontId="5"/>
  </si>
  <si>
    <t>いなばがくえん</t>
    <phoneticPr fontId="5"/>
  </si>
  <si>
    <t>稲葉学園高等学校</t>
  </si>
  <si>
    <t>ふない</t>
  </si>
  <si>
    <t>ほうしょう</t>
  </si>
  <si>
    <t>みやこのじょうひがし</t>
  </si>
  <si>
    <t>みやこのじょう</t>
  </si>
  <si>
    <t>こばやしにし</t>
  </si>
  <si>
    <t>にちなんがくえん</t>
  </si>
  <si>
    <t>日南学園中学校</t>
  </si>
  <si>
    <t>みやこのじょうせいどみにこがくえん</t>
    <phoneticPr fontId="5"/>
  </si>
  <si>
    <t>日南学園高等学校田野分校（宮崎穎学館）</t>
    <rPh sb="15" eb="16">
      <t>エイ</t>
    </rPh>
    <phoneticPr fontId="5"/>
  </si>
  <si>
    <t>にちなんがくえんたのぶんこう</t>
  </si>
  <si>
    <t>かごしまじつぎょう</t>
  </si>
  <si>
    <t>かごしまじょうせい</t>
  </si>
  <si>
    <t>神村学園中等部</t>
  </si>
  <si>
    <t>ほうおう</t>
  </si>
  <si>
    <t>りゅうおう</t>
  </si>
  <si>
    <t>いずみちゅうおう</t>
  </si>
  <si>
    <t>しょうしかん</t>
  </si>
  <si>
    <t>やくしまおおぞら</t>
  </si>
  <si>
    <t>沖縄三育中学校</t>
  </si>
  <si>
    <t>おきなわさんいく</t>
  </si>
  <si>
    <t>沖縄アミークスインターナショナル中学校</t>
    <rPh sb="0" eb="2">
      <t>オキナワ</t>
    </rPh>
    <rPh sb="16" eb="19">
      <t>チュウガッコウ</t>
    </rPh>
    <phoneticPr fontId="5"/>
  </si>
  <si>
    <t>おきなわあみーくすいんたーなしょなる</t>
    <phoneticPr fontId="5"/>
  </si>
  <si>
    <t>沖縄アミークスインターナショナル中学校</t>
  </si>
  <si>
    <t>八洲学園大学国際高等学校</t>
    <rPh sb="0" eb="6">
      <t>ヤシマガクエンダイガク</t>
    </rPh>
    <rPh sb="6" eb="8">
      <t>コクサイ</t>
    </rPh>
    <phoneticPr fontId="5"/>
  </si>
  <si>
    <t>やしまがくえんだいがくこくさい</t>
  </si>
  <si>
    <t>ヒューマンキャンパス高等学校</t>
    <rPh sb="10" eb="12">
      <t>コウトウ</t>
    </rPh>
    <rPh sb="12" eb="14">
      <t>ガッコウ</t>
    </rPh>
    <phoneticPr fontId="5"/>
  </si>
  <si>
    <t>ひゅーまんきゃんぱす</t>
    <phoneticPr fontId="5"/>
  </si>
  <si>
    <t>Ｎ高等学校</t>
    <rPh sb="1" eb="3">
      <t>コウトウ</t>
    </rPh>
    <rPh sb="3" eb="5">
      <t>ガッコウ</t>
    </rPh>
    <phoneticPr fontId="5"/>
  </si>
  <si>
    <t>えぬ</t>
    <phoneticPr fontId="5"/>
  </si>
  <si>
    <t>つくば開成国際高等学校</t>
    <rPh sb="3" eb="5">
      <t>カイセイ</t>
    </rPh>
    <rPh sb="5" eb="7">
      <t>コクサイ</t>
    </rPh>
    <rPh sb="7" eb="9">
      <t>コウトウ</t>
    </rPh>
    <rPh sb="9" eb="11">
      <t>ガッコウ</t>
    </rPh>
    <phoneticPr fontId="5"/>
  </si>
  <si>
    <t>つくばかいせいこくさい</t>
    <phoneticPr fontId="5"/>
  </si>
  <si>
    <t>瑞穂MSC高等学校</t>
    <rPh sb="0" eb="2">
      <t>ミズホ</t>
    </rPh>
    <rPh sb="5" eb="9">
      <t>コウトウガッコウ</t>
    </rPh>
    <phoneticPr fontId="5"/>
  </si>
  <si>
    <t>みずほえむえすしー</t>
    <phoneticPr fontId="5"/>
  </si>
  <si>
    <t>えなじっくすぽーつ</t>
    <phoneticPr fontId="5"/>
  </si>
  <si>
    <t>エナジックスポーツ高等学院【新設】</t>
  </si>
  <si>
    <t>珊瑚舎スコーレ東表中学校（夜間）【新設】</t>
    <rPh sb="13" eb="15">
      <t>ヤカン</t>
    </rPh>
    <rPh sb="17" eb="19">
      <t>シンセツ</t>
    </rPh>
    <phoneticPr fontId="5"/>
  </si>
  <si>
    <t>さんごしゃすこーれあがりおもて</t>
    <phoneticPr fontId="5"/>
  </si>
  <si>
    <t>珊瑚舎スコーレ東表中学校（夜間）【新設】</t>
  </si>
  <si>
    <t>青森県</t>
  </si>
  <si>
    <t>岩手県</t>
  </si>
  <si>
    <t>宮城県</t>
  </si>
  <si>
    <t>秋田県</t>
  </si>
  <si>
    <t>山形県</t>
  </si>
  <si>
    <t>福島県</t>
  </si>
  <si>
    <t>新潟県</t>
  </si>
  <si>
    <t>茨城県</t>
  </si>
  <si>
    <t>栃木県</t>
  </si>
  <si>
    <t>群馬県</t>
  </si>
  <si>
    <t>埼玉県</t>
  </si>
  <si>
    <t>千葉県</t>
  </si>
  <si>
    <t>神奈川県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</si>
  <si>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</si>
  <si>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</si>
  <si>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</si>
  <si>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</si>
  <si>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</si>
  <si>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</si>
  <si>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</si>
  <si>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</si>
  <si>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</si>
  <si>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</si>
  <si>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</si>
  <si>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</si>
  <si>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</si>
  <si>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</si>
  <si>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</si>
  <si>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</si>
  <si>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</si>
  <si>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</si>
  <si>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</si>
  <si>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香川県</t>
  </si>
  <si>
    <t>愛媛県</t>
  </si>
  <si>
    <t>高知県</t>
  </si>
  <si>
    <t>福岡県</t>
  </si>
  <si>
    <t>佐賀県</t>
  </si>
  <si>
    <t>長崎県</t>
  </si>
  <si>
    <t>熊本県</t>
  </si>
  <si>
    <t>大分県</t>
  </si>
  <si>
    <t>宮崎県</t>
  </si>
  <si>
    <t>鹿児島県</t>
  </si>
  <si>
    <t>沖縄県</t>
  </si>
  <si>
    <t>代表校コード</t>
    <rPh sb="0" eb="3">
      <t>ダイヒョウコウ</t>
    </rPh>
    <phoneticPr fontId="15"/>
  </si>
  <si>
    <t>青森県東奥学園高等学校</t>
  </si>
  <si>
    <t>青森県青森山田高等学校</t>
  </si>
  <si>
    <t>新潟県長岡英智高等学校</t>
  </si>
  <si>
    <t>山梨県自然学園高等学校</t>
  </si>
  <si>
    <t>愛知県愛知黎明高等学校</t>
  </si>
  <si>
    <t>大分県大分東明高等学校</t>
  </si>
  <si>
    <t>大分県明豊高等学校</t>
  </si>
  <si>
    <t>宮崎県日南学園高等学校</t>
  </si>
  <si>
    <t>鹿児島県神村学園高等部</t>
  </si>
  <si>
    <t>東京都</t>
  </si>
  <si>
    <t>都道府県
※リストから選択</t>
    <rPh sb="0" eb="4">
      <t>トドウフケン</t>
    </rPh>
    <rPh sb="11" eb="13">
      <t>センタク</t>
    </rPh>
    <phoneticPr fontId="5"/>
  </si>
  <si>
    <t>休課程</t>
    <rPh sb="0" eb="1">
      <t>キュウ</t>
    </rPh>
    <rPh sb="1" eb="3">
      <t>カテイ</t>
    </rPh>
    <phoneticPr fontId="5"/>
  </si>
  <si>
    <t>代表校の校名
（自動表示）</t>
    <rPh sb="0" eb="3">
      <t>ダイヒョウコウ</t>
    </rPh>
    <rPh sb="4" eb="5">
      <t>コウ</t>
    </rPh>
    <rPh sb="8" eb="10">
      <t>ジドウ</t>
    </rPh>
    <rPh sb="10" eb="12">
      <t>ヒョウジ</t>
    </rPh>
    <phoneticPr fontId="5"/>
  </si>
  <si>
    <r>
      <t xml:space="preserve">大臣所轄
</t>
    </r>
    <r>
      <rPr>
        <sz val="9"/>
        <rFont val="ＭＳ Ｐゴシック"/>
        <family val="3"/>
        <charset val="128"/>
      </rPr>
      <t>（自動表示）</t>
    </r>
    <rPh sb="0" eb="2">
      <t>ダイジン</t>
    </rPh>
    <rPh sb="2" eb="4">
      <t>ショカツ</t>
    </rPh>
    <phoneticPr fontId="5"/>
  </si>
  <si>
    <r>
      <t xml:space="preserve">知事所轄
</t>
    </r>
    <r>
      <rPr>
        <sz val="9"/>
        <rFont val="ＭＳ Ｐゴシック"/>
        <family val="3"/>
        <charset val="128"/>
      </rPr>
      <t>（大臣所轄以外）</t>
    </r>
    <r>
      <rPr>
        <b/>
        <sz val="9"/>
        <rFont val="ＭＳ Ｐゴシック"/>
        <family val="3"/>
        <charset val="128"/>
      </rPr>
      <t xml:space="preserve">
</t>
    </r>
    <r>
      <rPr>
        <sz val="9"/>
        <rFont val="ＭＳ Ｐゴシック"/>
        <family val="3"/>
        <charset val="128"/>
      </rPr>
      <t>（自動表示）</t>
    </r>
    <phoneticPr fontId="5"/>
  </si>
  <si>
    <t>北海道</t>
    <rPh sb="0" eb="3">
      <t>ホッカイドウ</t>
    </rPh>
    <phoneticPr fontId="5"/>
  </si>
  <si>
    <t>宮城</t>
    <rPh sb="0" eb="1">
      <t>ミヤ</t>
    </rPh>
    <rPh sb="1" eb="2">
      <t>シロ</t>
    </rPh>
    <phoneticPr fontId="5"/>
  </si>
  <si>
    <t>茨城</t>
    <rPh sb="0" eb="1">
      <t>イバラ</t>
    </rPh>
    <rPh sb="1" eb="2">
      <t>シロ</t>
    </rPh>
    <phoneticPr fontId="5"/>
  </si>
  <si>
    <t>山梨</t>
    <rPh sb="0" eb="1">
      <t>ヤマ</t>
    </rPh>
    <rPh sb="1" eb="2">
      <t>ナシ</t>
    </rPh>
    <phoneticPr fontId="5"/>
  </si>
  <si>
    <t>長野</t>
    <rPh sb="0" eb="1">
      <t>ナガ</t>
    </rPh>
    <rPh sb="1" eb="2">
      <t>ノ</t>
    </rPh>
    <phoneticPr fontId="5"/>
  </si>
  <si>
    <t>岐阜</t>
    <rPh sb="0" eb="1">
      <t>チマタ</t>
    </rPh>
    <rPh sb="1" eb="2">
      <t>ユタカ</t>
    </rPh>
    <phoneticPr fontId="5"/>
  </si>
  <si>
    <t>京都</t>
    <rPh sb="0" eb="1">
      <t>キョウ</t>
    </rPh>
    <rPh sb="1" eb="2">
      <t>ト</t>
    </rPh>
    <phoneticPr fontId="5"/>
  </si>
  <si>
    <t>大阪</t>
    <rPh sb="0" eb="1">
      <t>ダイ</t>
    </rPh>
    <rPh sb="1" eb="2">
      <t>サカ</t>
    </rPh>
    <phoneticPr fontId="5"/>
  </si>
  <si>
    <t>奈良</t>
    <rPh sb="0" eb="1">
      <t>ナ</t>
    </rPh>
    <rPh sb="1" eb="2">
      <t>リョウ</t>
    </rPh>
    <phoneticPr fontId="5"/>
  </si>
  <si>
    <t>岡山</t>
    <rPh sb="0" eb="1">
      <t>オカ</t>
    </rPh>
    <rPh sb="1" eb="2">
      <t>ヤマ</t>
    </rPh>
    <phoneticPr fontId="5"/>
  </si>
  <si>
    <t>福岡</t>
    <rPh sb="0" eb="1">
      <t>フク</t>
    </rPh>
    <rPh sb="1" eb="2">
      <t>オカ</t>
    </rPh>
    <phoneticPr fontId="5"/>
  </si>
  <si>
    <t>熊本</t>
    <rPh sb="0" eb="1">
      <t>クマ</t>
    </rPh>
    <rPh sb="1" eb="2">
      <t>ホン</t>
    </rPh>
    <phoneticPr fontId="5"/>
  </si>
  <si>
    <t>沖縄</t>
    <rPh sb="0" eb="1">
      <t>オキ</t>
    </rPh>
    <rPh sb="1" eb="2">
      <t>ナワ</t>
    </rPh>
    <phoneticPr fontId="5"/>
  </si>
  <si>
    <t>北海道教育学園三和高等学校</t>
    <phoneticPr fontId="5"/>
  </si>
  <si>
    <t>和歌山南陵高等学校</t>
    <rPh sb="0" eb="3">
      <t>ワカヤマ</t>
    </rPh>
    <rPh sb="3" eb="5">
      <t>ナンリョウ</t>
    </rPh>
    <rPh sb="5" eb="7">
      <t>コウトウ</t>
    </rPh>
    <rPh sb="7" eb="9">
      <t>ガッコウ</t>
    </rPh>
    <phoneticPr fontId="5"/>
  </si>
  <si>
    <t>福島南高等学校</t>
  </si>
  <si>
    <t>湘南ライナス学園高等部</t>
    <rPh sb="0" eb="2">
      <t>ショウナン</t>
    </rPh>
    <rPh sb="6" eb="8">
      <t>ガクエン</t>
    </rPh>
    <rPh sb="8" eb="10">
      <t>コウトウ</t>
    </rPh>
    <rPh sb="10" eb="11">
      <t>ブ</t>
    </rPh>
    <phoneticPr fontId="5"/>
  </si>
  <si>
    <t>京北学園白山高等学校</t>
    <phoneticPr fontId="5"/>
  </si>
  <si>
    <t>菊川南陵高等学校</t>
    <phoneticPr fontId="5"/>
  </si>
  <si>
    <t>自由ヶ丘高等学校</t>
    <rPh sb="0" eb="4">
      <t>ジユウガオカ</t>
    </rPh>
    <phoneticPr fontId="5"/>
  </si>
  <si>
    <t>飛鳥未来きぼう高等学校</t>
    <phoneticPr fontId="5"/>
  </si>
  <si>
    <t>静岡学園なごみ高等学校</t>
    <phoneticPr fontId="5"/>
  </si>
  <si>
    <t>ECC学園高等学校</t>
  </si>
  <si>
    <t>京都長尾谷高等学校</t>
    <phoneticPr fontId="5"/>
  </si>
  <si>
    <t>エナジックスポーツ高等学院</t>
    <phoneticPr fontId="5"/>
  </si>
  <si>
    <t>日本体育大学附属高等支援学校</t>
    <rPh sb="0" eb="2">
      <t>ニホン</t>
    </rPh>
    <rPh sb="2" eb="4">
      <t>タイイク</t>
    </rPh>
    <rPh sb="4" eb="6">
      <t>ダイガク</t>
    </rPh>
    <rPh sb="6" eb="8">
      <t>フゾク</t>
    </rPh>
    <rPh sb="8" eb="10">
      <t>コウトウ</t>
    </rPh>
    <rPh sb="10" eb="12">
      <t>シエン</t>
    </rPh>
    <rPh sb="12" eb="14">
      <t>ガッコウ</t>
    </rPh>
    <phoneticPr fontId="5"/>
  </si>
  <si>
    <t>三愛学舎</t>
    <phoneticPr fontId="5"/>
  </si>
  <si>
    <t>いずみ高等支援学校</t>
    <rPh sb="5" eb="7">
      <t>シエン</t>
    </rPh>
    <rPh sb="7" eb="9">
      <t>ガッコウ</t>
    </rPh>
    <phoneticPr fontId="5"/>
  </si>
  <si>
    <t>支援学校仙台みらい高等学園</t>
    <rPh sb="0" eb="2">
      <t>シエン</t>
    </rPh>
    <rPh sb="2" eb="4">
      <t>ガッコウ</t>
    </rPh>
    <rPh sb="4" eb="6">
      <t>センダイ</t>
    </rPh>
    <rPh sb="9" eb="11">
      <t>コウトウ</t>
    </rPh>
    <rPh sb="11" eb="13">
      <t>ガクエン</t>
    </rPh>
    <phoneticPr fontId="5"/>
  </si>
  <si>
    <t>支援学校若葉高等学園</t>
    <phoneticPr fontId="5"/>
  </si>
  <si>
    <t>特別支援学校光の村秩父自然学園高等部</t>
    <rPh sb="0" eb="2">
      <t>トクベツ</t>
    </rPh>
    <rPh sb="2" eb="4">
      <t>シエン</t>
    </rPh>
    <rPh sb="4" eb="6">
      <t>ガッコウ</t>
    </rPh>
    <rPh sb="6" eb="7">
      <t>ヒカリ</t>
    </rPh>
    <rPh sb="8" eb="9">
      <t>ムラ</t>
    </rPh>
    <phoneticPr fontId="5"/>
  </si>
  <si>
    <t>横浜訓盲学院高等部</t>
    <phoneticPr fontId="5"/>
  </si>
  <si>
    <t>聖坂支援学校高等部</t>
    <rPh sb="2" eb="4">
      <t>シエン</t>
    </rPh>
    <phoneticPr fontId="5"/>
  </si>
  <si>
    <t>旭出学園（特別支援学校）高等部</t>
  </si>
  <si>
    <t>特別支援学校ねむの木高等部</t>
    <rPh sb="0" eb="2">
      <t>トクベツ</t>
    </rPh>
    <rPh sb="2" eb="4">
      <t>シエン</t>
    </rPh>
    <rPh sb="4" eb="6">
      <t>ガッコウ</t>
    </rPh>
    <phoneticPr fontId="5"/>
  </si>
  <si>
    <t>特別支援学校光の村土佐自然学園高等部</t>
    <rPh sb="0" eb="2">
      <t>トクベツ</t>
    </rPh>
    <rPh sb="2" eb="4">
      <t>シエン</t>
    </rPh>
    <rPh sb="4" eb="6">
      <t>ガッコウ</t>
    </rPh>
    <phoneticPr fontId="5"/>
  </si>
  <si>
    <t>（</t>
    <phoneticPr fontId="15"/>
  </si>
  <si>
    <t>中学コード</t>
    <rPh sb="0" eb="2">
      <t>チュウガク</t>
    </rPh>
    <phoneticPr fontId="15"/>
  </si>
  <si>
    <t>高校コード</t>
    <rPh sb="0" eb="2">
      <t>コウコウ</t>
    </rPh>
    <phoneticPr fontId="15"/>
  </si>
  <si>
    <t>普通･情報科学･調理･福祉・／看護[5年]</t>
    <rPh sb="15" eb="17">
      <t>カンゴ</t>
    </rPh>
    <phoneticPr fontId="5"/>
  </si>
  <si>
    <t>普通･ITビジネス･調理･（自動車）／自動車専攻科</t>
    <phoneticPr fontId="5"/>
  </si>
  <si>
    <t>普通・生活文化･調理／看護[5年]</t>
    <rPh sb="0" eb="2">
      <t>フツウ</t>
    </rPh>
    <phoneticPr fontId="5"/>
  </si>
  <si>
    <t>普通･看護[5年]･福祉教養</t>
  </si>
  <si>
    <t>普通･商業･家政･食物調理／保育士専攻科・公務員予備校専科・調理師パティシェ専科・英会話専科</t>
    <rPh sb="9" eb="11">
      <t>ショクモツ</t>
    </rPh>
    <rPh sb="11" eb="13">
      <t>チョウリ</t>
    </rPh>
    <rPh sb="21" eb="24">
      <t>コウムイン</t>
    </rPh>
    <rPh sb="24" eb="27">
      <t>ヨビコウ</t>
    </rPh>
    <rPh sb="27" eb="29">
      <t>センカ</t>
    </rPh>
    <rPh sb="30" eb="33">
      <t>チョウリシ</t>
    </rPh>
    <rPh sb="38" eb="40">
      <t>センカ</t>
    </rPh>
    <rPh sb="41" eb="44">
      <t>エイカイワ</t>
    </rPh>
    <rPh sb="44" eb="46">
      <t>センカ</t>
    </rPh>
    <phoneticPr fontId="5"/>
  </si>
  <si>
    <t>普通･自動車工学･情報機械／自動車工学専攻科</t>
  </si>
  <si>
    <t>普通･食物文化／看護[5年]</t>
    <phoneticPr fontId="5"/>
  </si>
  <si>
    <r>
      <rPr>
        <sz val="8"/>
        <rFont val="ＭＳ 明朝"/>
        <family val="1"/>
        <charset val="128"/>
      </rPr>
      <t>看護[3年]･</t>
    </r>
    <r>
      <rPr>
        <b/>
        <sz val="11"/>
        <rFont val="ＭＳ Ｐゴシック"/>
        <family val="3"/>
        <charset val="128"/>
      </rPr>
      <t>（看護[5年]）</t>
    </r>
    <r>
      <rPr>
        <sz val="8"/>
        <rFont val="ＭＳ 明朝"/>
        <family val="1"/>
        <charset val="128"/>
      </rPr>
      <t>／看護専攻科</t>
    </r>
    <rPh sb="0" eb="2">
      <t>カンゴ</t>
    </rPh>
    <rPh sb="4" eb="5">
      <t>ネン</t>
    </rPh>
    <phoneticPr fontId="5"/>
  </si>
  <si>
    <t>普通･看護[5年]</t>
  </si>
  <si>
    <t>普通･家政･看護[5年]</t>
  </si>
  <si>
    <t>普通／(専攻科)</t>
    <rPh sb="4" eb="6">
      <t>センコウ</t>
    </rPh>
    <rPh sb="6" eb="7">
      <t>カ</t>
    </rPh>
    <phoneticPr fontId="5"/>
  </si>
  <si>
    <t>普通･商業･家政･衛生看護／衛生看護専攻科</t>
  </si>
  <si>
    <t>普通･看護[5年]</t>
    <phoneticPr fontId="5"/>
  </si>
  <si>
    <t>農業／農業専攻科</t>
    <phoneticPr fontId="5"/>
  </si>
  <si>
    <r>
      <t>普通･</t>
    </r>
    <r>
      <rPr>
        <b/>
        <sz val="11"/>
        <rFont val="ＭＳ Ｐゴシック"/>
        <family val="3"/>
        <charset val="128"/>
      </rPr>
      <t>看護･看護専攻科</t>
    </r>
    <rPh sb="3" eb="5">
      <t>カンゴ</t>
    </rPh>
    <rPh sb="6" eb="8">
      <t>カンゴ</t>
    </rPh>
    <rPh sb="8" eb="11">
      <t>センコウカ</t>
    </rPh>
    <phoneticPr fontId="5"/>
  </si>
  <si>
    <t>看護[5年]･調理</t>
    <rPh sb="7" eb="9">
      <t>チョウリ</t>
    </rPh>
    <phoneticPr fontId="5"/>
  </si>
  <si>
    <t>普通･看護[5年]</t>
    <rPh sb="3" eb="5">
      <t>カンゴ</t>
    </rPh>
    <phoneticPr fontId="5"/>
  </si>
  <si>
    <t>普通･衛生看護･衛生看護専攻科</t>
  </si>
  <si>
    <t>普通･商業･生活科学･看護[5年]</t>
    <rPh sb="6" eb="8">
      <t>セイカツ</t>
    </rPh>
    <phoneticPr fontId="5"/>
  </si>
  <si>
    <t>普通･情報ビジネス･調理･福祉･／看護[５年]／高等看護専攻科／（高等福祉専攻科）</t>
    <phoneticPr fontId="5"/>
  </si>
  <si>
    <t>普通･情報商業･衛生看護／衛生看護専攻科</t>
    <phoneticPr fontId="5"/>
  </si>
  <si>
    <t>普通･（商業）･衛生看護[5年]</t>
    <phoneticPr fontId="5"/>
  </si>
  <si>
    <t>普通･調理･福祉・（看護[5年]）</t>
    <phoneticPr fontId="5"/>
  </si>
  <si>
    <t>普通･看護[5年]･総合</t>
  </si>
  <si>
    <t>普通･商業･看護[5年]</t>
  </si>
  <si>
    <t>普通･商業･看護[5年]</t>
    <rPh sb="3" eb="5">
      <t>ショウギョウ</t>
    </rPh>
    <phoneticPr fontId="5"/>
  </si>
  <si>
    <t>普通･保育福祉･総合／自動車専攻科</t>
    <rPh sb="3" eb="5">
      <t>ホイク</t>
    </rPh>
    <rPh sb="5" eb="7">
      <t>フクシ</t>
    </rPh>
    <phoneticPr fontId="5"/>
  </si>
  <si>
    <t>普通･調理･介護福祉･看護[5年]</t>
  </si>
  <si>
    <t>普通･食物･福祉･看護[5年]</t>
    <rPh sb="0" eb="2">
      <t>フツウ</t>
    </rPh>
    <phoneticPr fontId="5"/>
  </si>
  <si>
    <t>自動車･総合／自動車専攻科</t>
  </si>
  <si>
    <t>普通･食物･トータルビューティ･衛生看護[5年]</t>
    <phoneticPr fontId="5"/>
  </si>
  <si>
    <t>普通･調理･医療福祉･／衛生看護[5年]</t>
    <rPh sb="3" eb="5">
      <t>チョウリ</t>
    </rPh>
    <rPh sb="6" eb="8">
      <t>イリョウ</t>
    </rPh>
    <phoneticPr fontId="5"/>
  </si>
  <si>
    <t>普通･食物調理･保育福祉･／衛生看護／衛生看護専攻科</t>
    <phoneticPr fontId="5"/>
  </si>
  <si>
    <r>
      <rPr>
        <b/>
        <sz val="11"/>
        <rFont val="ＭＳ Ｐゴシック"/>
        <family val="3"/>
        <charset val="128"/>
      </rPr>
      <t>普通</t>
    </r>
    <r>
      <rPr>
        <sz val="8"/>
        <rFont val="ＭＳ 明朝"/>
        <family val="1"/>
        <charset val="128"/>
      </rPr>
      <t>･</t>
    </r>
    <r>
      <rPr>
        <b/>
        <sz val="11"/>
        <rFont val="ＭＳ Ｐゴシック"/>
        <family val="3"/>
        <charset val="128"/>
      </rPr>
      <t>（保育）</t>
    </r>
    <r>
      <rPr>
        <sz val="8"/>
        <rFont val="ＭＳ 明朝"/>
        <family val="1"/>
        <charset val="128"/>
      </rPr>
      <t>･調理･パティシエ･／美容･エステティック･</t>
    </r>
    <r>
      <rPr>
        <b/>
        <sz val="11"/>
        <rFont val="ＭＳ Ｐゴシック"/>
        <family val="3"/>
        <charset val="128"/>
      </rPr>
      <t>（福祉）</t>
    </r>
    <r>
      <rPr>
        <sz val="8"/>
        <rFont val="ＭＳ 明朝"/>
        <family val="1"/>
        <charset val="128"/>
      </rPr>
      <t>／看護[5年]</t>
    </r>
    <rPh sb="0" eb="2">
      <t>フツウ</t>
    </rPh>
    <phoneticPr fontId="5"/>
  </si>
  <si>
    <r>
      <t>普通･総合ビジネス･機械･／</t>
    </r>
    <r>
      <rPr>
        <b/>
        <sz val="11"/>
        <rFont val="ＭＳ Ｐゴシック"/>
        <family val="3"/>
        <charset val="128"/>
      </rPr>
      <t>（自動車工学）</t>
    </r>
    <r>
      <rPr>
        <sz val="8"/>
        <rFont val="ＭＳ 明朝"/>
        <family val="1"/>
        <charset val="128"/>
      </rPr>
      <t>／自動車工学専攻科</t>
    </r>
    <phoneticPr fontId="5"/>
  </si>
  <si>
    <t>普通･総合ビジネス･看護[5年]</t>
  </si>
  <si>
    <t>普通･ビジネス･食物･看護[5年]</t>
    <phoneticPr fontId="5"/>
  </si>
  <si>
    <t>普通･機械･電気情報･看護[5年]･／福祉</t>
    <rPh sb="3" eb="5">
      <t>キカイ</t>
    </rPh>
    <phoneticPr fontId="5"/>
  </si>
  <si>
    <t>普通･医療福祉･調理･看護[5年]</t>
    <rPh sb="3" eb="5">
      <t>イリョウ</t>
    </rPh>
    <phoneticPr fontId="5"/>
  </si>
  <si>
    <t>普通･商業･看護教養･看護[5年]</t>
  </si>
  <si>
    <t>普通･商業･自動車工業／自動車工学専攻科</t>
  </si>
  <si>
    <t>普通･食物･看護[5年]</t>
  </si>
  <si>
    <t>普通･調理･福祉･看護[5年]</t>
  </si>
  <si>
    <t>特進英数･英数･未来創造学・看護[5年]・（くらしの科学）･（システム工学）</t>
    <rPh sb="8" eb="10">
      <t>ミライ</t>
    </rPh>
    <rPh sb="10" eb="12">
      <t>ソウゾウ</t>
    </rPh>
    <rPh sb="12" eb="13">
      <t>ガク</t>
    </rPh>
    <phoneticPr fontId="5"/>
  </si>
  <si>
    <t>普通･総合ビジネス･モビリティ工学・調理･看護［5年］／自動車専攻科</t>
    <rPh sb="15" eb="17">
      <t>コウガク</t>
    </rPh>
    <rPh sb="21" eb="23">
      <t>カンゴ</t>
    </rPh>
    <phoneticPr fontId="5"/>
  </si>
  <si>
    <t>普通･調理／看護[5年]･理数･特進</t>
  </si>
  <si>
    <t>看護[5年]</t>
  </si>
  <si>
    <t>普通･ビジネス情報･／ヘアーデザイン･／ファッションデザイン･調理･／社会福祉･ホテル観光･／トータルエステティック･／進学体育／福祉共生専攻科</t>
    <phoneticPr fontId="5"/>
  </si>
  <si>
    <t>普通･保育･文理･調理･看護[5年]</t>
    <rPh sb="9" eb="11">
      <t>チョウリ</t>
    </rPh>
    <phoneticPr fontId="5"/>
  </si>
  <si>
    <t>普通･メディカルシステム／総合福祉･看護[5年]</t>
  </si>
  <si>
    <t>医療福祉･イングトクリエイト・／看護[5年]･／保育専攻科</t>
    <rPh sb="24" eb="26">
      <t>ホイク</t>
    </rPh>
    <rPh sb="26" eb="28">
      <t>センコウ</t>
    </rPh>
    <rPh sb="28" eb="29">
      <t>カ</t>
    </rPh>
    <phoneticPr fontId="5"/>
  </si>
  <si>
    <t>普通･看護[5年]･医療福祉</t>
  </si>
  <si>
    <t>特進･普通･商業･建設工業･／医療福祉･看護[5年]</t>
    <phoneticPr fontId="5"/>
  </si>
  <si>
    <t>普通</t>
  </si>
  <si>
    <t>全日制学科
／専攻科
変更は太字</t>
    <rPh sb="0" eb="3">
      <t>ゼンニチセイ</t>
    </rPh>
    <rPh sb="3" eb="5">
      <t>ガッカ</t>
    </rPh>
    <rPh sb="7" eb="10">
      <t>センコウカ</t>
    </rPh>
    <rPh sb="12" eb="14">
      <t>ヘンコウ</t>
    </rPh>
    <rPh sb="15" eb="17">
      <t>フトジ</t>
    </rPh>
    <phoneticPr fontId="5"/>
  </si>
  <si>
    <t>特別進学･進学･衛生看護[5年]</t>
    <rPh sb="14" eb="15">
      <t>ネン</t>
    </rPh>
    <phoneticPr fontId="5"/>
  </si>
  <si>
    <t>key-senko</t>
    <phoneticPr fontId="15"/>
  </si>
  <si>
    <t>青森県千葉学園高等学校</t>
  </si>
  <si>
    <t>岩手県岩手女子高等学校</t>
  </si>
  <si>
    <t>岩手県盛岡誠桜高等学校</t>
  </si>
  <si>
    <t>山形県山形明正高等学校</t>
  </si>
  <si>
    <t>福島県仁愛高等学校</t>
  </si>
  <si>
    <t>福島県福島東稜高等学校</t>
  </si>
  <si>
    <t>新潟県加茂暁星高等学校</t>
  </si>
  <si>
    <t>茨城県大成女子高等学校</t>
  </si>
  <si>
    <t>神奈川県森村学園高等部</t>
  </si>
  <si>
    <t>東京都愛国高等学校</t>
  </si>
  <si>
    <t>福井県福井工業大学附属福井高等学校</t>
  </si>
  <si>
    <t>三重県愛農学園農業高等学校</t>
  </si>
  <si>
    <t>滋賀県滋賀学園高等学校</t>
  </si>
  <si>
    <t>京都府京都翔英高等学校</t>
  </si>
  <si>
    <t>京都府京都聖カタリナ高等学校</t>
  </si>
  <si>
    <t>京都府日星高等学校</t>
  </si>
  <si>
    <t>大阪府アナン学園高等学校</t>
  </si>
  <si>
    <t>大阪府大阪暁光高等学校</t>
  </si>
  <si>
    <t>奈良県奈良文化高等学校</t>
  </si>
  <si>
    <t>鳥取県米子北高等学校</t>
  </si>
  <si>
    <t>岡山県倉敷翠松高等学校</t>
  </si>
  <si>
    <t>岡山県創志学園高等学校</t>
  </si>
  <si>
    <t>山口県中村女子高等学校</t>
  </si>
  <si>
    <t>山口県山口県鴻城高等学校</t>
  </si>
  <si>
    <t>香川県四国学院大学香川西高等学校</t>
  </si>
  <si>
    <t>愛媛県聖カタリナ学園高等学校</t>
  </si>
  <si>
    <t>愛媛県松山学院高等学校</t>
  </si>
  <si>
    <t>高知県高知中央高等学校</t>
  </si>
  <si>
    <t>福岡県飯塚高等学校</t>
  </si>
  <si>
    <t>福岡県折尾愛真高等学校</t>
  </si>
  <si>
    <t>福岡県希望が丘高等学校</t>
  </si>
  <si>
    <t>福岡県近畿大学附属福岡高等学校</t>
  </si>
  <si>
    <t>福岡県純真高等学校</t>
  </si>
  <si>
    <t>福岡県杉森高等学校</t>
  </si>
  <si>
    <t>福岡県精華女子高等学校</t>
  </si>
  <si>
    <t>福岡県博多高等学校</t>
  </si>
  <si>
    <t>福岡県美萩野女子高等学校</t>
  </si>
  <si>
    <t>福岡県大和青藍高等学校</t>
  </si>
  <si>
    <t>佐賀県佐賀女子短期大学付属佐賀女子高等学校</t>
  </si>
  <si>
    <t>長崎県九州文化学園高等学校</t>
  </si>
  <si>
    <t>長崎県向陽高等学校</t>
  </si>
  <si>
    <t>長崎県佐世保実業高等学校</t>
  </si>
  <si>
    <t>長崎県長崎玉成高等学校</t>
  </si>
  <si>
    <t>熊本県有明高等学校</t>
  </si>
  <si>
    <t>熊本県熊本中央高等学校</t>
  </si>
  <si>
    <t>熊本県城北高等学校</t>
  </si>
  <si>
    <t>熊本県玉名女子高等学校</t>
  </si>
  <si>
    <t>大分県大分高等学校</t>
  </si>
  <si>
    <t>大分県昭和学園高等学校</t>
  </si>
  <si>
    <t>大分県別府溝部学園高等学校</t>
  </si>
  <si>
    <t>大分県柳ヶ浦高等学校</t>
  </si>
  <si>
    <t>宮崎県日南学園高等学校田野分校（宮崎穎学館）</t>
  </si>
  <si>
    <t>宮崎県鵬翔高等学校</t>
  </si>
  <si>
    <t>宮崎県都城東高等学校</t>
  </si>
  <si>
    <t>鹿児島県出水中央高等学校</t>
  </si>
  <si>
    <t>鹿児島県鹿児島城西高等学校</t>
  </si>
  <si>
    <t>鹿児島県尚志館高等学校</t>
  </si>
  <si>
    <t>鹿児島県鳳凰高等学校</t>
  </si>
  <si>
    <t>鹿児島県龍桜高等学校</t>
  </si>
  <si>
    <t>本務教員数</t>
    <rPh sb="0" eb="4">
      <t>ホンムキョウイン</t>
    </rPh>
    <rPh sb="4" eb="5">
      <t>スウ</t>
    </rPh>
    <phoneticPr fontId="15"/>
  </si>
  <si>
    <t>非常勤教員数</t>
    <rPh sb="0" eb="5">
      <t>ヒジョウキンキョウイン</t>
    </rPh>
    <rPh sb="5" eb="6">
      <t>スウ</t>
    </rPh>
    <phoneticPr fontId="15"/>
  </si>
  <si>
    <t>本務職員数</t>
    <rPh sb="0" eb="4">
      <t>ホンムショクイン</t>
    </rPh>
    <rPh sb="4" eb="5">
      <t>スウ</t>
    </rPh>
    <phoneticPr fontId="15"/>
  </si>
  <si>
    <t>兼務職員数</t>
    <rPh sb="0" eb="4">
      <t>ケンムショクイン</t>
    </rPh>
    <rPh sb="4" eb="5">
      <t>スウ</t>
    </rPh>
    <phoneticPr fontId="15"/>
  </si>
  <si>
    <r>
      <t>本務</t>
    </r>
    <r>
      <rPr>
        <b/>
        <sz val="10"/>
        <color theme="1"/>
        <rFont val="ＭＳ Ｐゴシック"/>
        <family val="3"/>
        <charset val="128"/>
      </rPr>
      <t>教員</t>
    </r>
    <r>
      <rPr>
        <sz val="10"/>
        <color theme="1"/>
        <rFont val="ＭＳ Ｐゴシック"/>
        <family val="3"/>
        <charset val="128"/>
      </rPr>
      <t>人件費支出</t>
    </r>
    <phoneticPr fontId="15"/>
  </si>
  <si>
    <r>
      <t>本務</t>
    </r>
    <r>
      <rPr>
        <b/>
        <sz val="10"/>
        <color theme="1"/>
        <rFont val="ＭＳ Ｐゴシック"/>
        <family val="3"/>
        <charset val="128"/>
      </rPr>
      <t>職員</t>
    </r>
    <r>
      <rPr>
        <sz val="10"/>
        <color theme="1"/>
        <rFont val="ＭＳ Ｐゴシック"/>
        <family val="3"/>
        <charset val="128"/>
      </rPr>
      <t>人件費支出</t>
    </r>
    <phoneticPr fontId="15"/>
  </si>
  <si>
    <t>本俸</t>
    <rPh sb="0" eb="2">
      <t>ホンポウ</t>
    </rPh>
    <phoneticPr fontId="15"/>
  </si>
  <si>
    <t>円</t>
    <rPh sb="0" eb="1">
      <t>エン</t>
    </rPh>
    <phoneticPr fontId="15"/>
  </si>
  <si>
    <t>期末手当</t>
    <rPh sb="0" eb="4">
      <t>キマツテアテ</t>
    </rPh>
    <phoneticPr fontId="15"/>
  </si>
  <si>
    <t>計</t>
    <rPh sb="0" eb="1">
      <t>ケイ</t>
    </rPh>
    <phoneticPr fontId="15"/>
  </si>
  <si>
    <t>問合せ先</t>
    <rPh sb="0" eb="2">
      <t>トイアワ</t>
    </rPh>
    <rPh sb="3" eb="4">
      <t>サキ</t>
    </rPh>
    <phoneticPr fontId="15"/>
  </si>
  <si>
    <t>氏名</t>
    <rPh sb="0" eb="2">
      <t>シメイ</t>
    </rPh>
    <phoneticPr fontId="3"/>
  </si>
  <si>
    <t>現員総数</t>
    <rPh sb="0" eb="4">
      <t>ゲンインソウスウ</t>
    </rPh>
    <phoneticPr fontId="15"/>
  </si>
  <si>
    <t>うち男子</t>
    <rPh sb="2" eb="4">
      <t>ダンシ</t>
    </rPh>
    <phoneticPr fontId="15"/>
  </si>
  <si>
    <t>うち女子</t>
    <rPh sb="2" eb="4">
      <t>ジョシ</t>
    </rPh>
    <phoneticPr fontId="15"/>
  </si>
  <si>
    <t>入学
志願者数</t>
    <rPh sb="0" eb="2">
      <t>ニュウガク</t>
    </rPh>
    <rPh sb="3" eb="6">
      <t>シガンシャ</t>
    </rPh>
    <rPh sb="6" eb="7">
      <t>スウ</t>
    </rPh>
    <phoneticPr fontId="3"/>
  </si>
  <si>
    <t>受験者数</t>
    <rPh sb="0" eb="4">
      <t>ジュケンシャスウ</t>
    </rPh>
    <phoneticPr fontId="3"/>
  </si>
  <si>
    <t>合格者数</t>
    <rPh sb="0" eb="3">
      <t>ゴウカクシャ</t>
    </rPh>
    <rPh sb="3" eb="4">
      <t>スウ</t>
    </rPh>
    <phoneticPr fontId="3"/>
  </si>
  <si>
    <t>定員／
現員別</t>
    <rPh sb="0" eb="2">
      <t>テイイン</t>
    </rPh>
    <rPh sb="4" eb="6">
      <t>ゲンイン</t>
    </rPh>
    <rPh sb="6" eb="7">
      <t>ベツ</t>
    </rPh>
    <phoneticPr fontId="15"/>
  </si>
  <si>
    <t>定員</t>
    <rPh sb="0" eb="2">
      <t>テイイン</t>
    </rPh>
    <phoneticPr fontId="15"/>
  </si>
  <si>
    <t>現員</t>
    <rPh sb="0" eb="2">
      <t>ゲンイン</t>
    </rPh>
    <phoneticPr fontId="15"/>
  </si>
  <si>
    <t>１年</t>
    <rPh sb="1" eb="2">
      <t>ネン</t>
    </rPh>
    <phoneticPr fontId="3"/>
  </si>
  <si>
    <t>２年</t>
    <rPh sb="1" eb="2">
      <t>ネン</t>
    </rPh>
    <phoneticPr fontId="3"/>
  </si>
  <si>
    <t>３年</t>
    <rPh sb="1" eb="2">
      <t>ネン</t>
    </rPh>
    <phoneticPr fontId="3"/>
  </si>
  <si>
    <t>４年</t>
    <rPh sb="1" eb="2">
      <t>ネン</t>
    </rPh>
    <phoneticPr fontId="3"/>
  </si>
  <si>
    <t>１年</t>
    <phoneticPr fontId="3"/>
  </si>
  <si>
    <t>２年</t>
    <phoneticPr fontId="3"/>
  </si>
  <si>
    <t>３年</t>
    <phoneticPr fontId="3"/>
  </si>
  <si>
    <t>４年</t>
    <phoneticPr fontId="3"/>
  </si>
  <si>
    <t>入学金</t>
    <rPh sb="0" eb="3">
      <t>ニュウガクキン</t>
    </rPh>
    <phoneticPr fontId="15"/>
  </si>
  <si>
    <t>授業料</t>
    <rPh sb="0" eb="3">
      <t>ジュギョウリョウ</t>
    </rPh>
    <phoneticPr fontId="15"/>
  </si>
  <si>
    <t>実験実習料</t>
    <rPh sb="0" eb="2">
      <t>ジッケン</t>
    </rPh>
    <rPh sb="2" eb="4">
      <t>ジッシュウ</t>
    </rPh>
    <rPh sb="4" eb="5">
      <t>リョウ</t>
    </rPh>
    <phoneticPr fontId="15"/>
  </si>
  <si>
    <t>施設・設備資金</t>
    <phoneticPr fontId="15"/>
  </si>
  <si>
    <t>教育充実費</t>
    <rPh sb="0" eb="5">
      <t>キョウイクジュウジツヒ</t>
    </rPh>
    <phoneticPr fontId="15"/>
  </si>
  <si>
    <t>維持費他</t>
    <rPh sb="0" eb="3">
      <t>イジヒ</t>
    </rPh>
    <rPh sb="3" eb="4">
      <t>ホカ</t>
    </rPh>
    <phoneticPr fontId="15"/>
  </si>
  <si>
    <t>２年</t>
    <rPh sb="1" eb="2">
      <t>ネン</t>
    </rPh>
    <phoneticPr fontId="15"/>
  </si>
  <si>
    <t>３年</t>
    <rPh sb="1" eb="2">
      <t>ネン</t>
    </rPh>
    <phoneticPr fontId="15"/>
  </si>
  <si>
    <t>４年</t>
    <rPh sb="1" eb="2">
      <t>ネン</t>
    </rPh>
    <phoneticPr fontId="15"/>
  </si>
  <si>
    <t>その他手当</t>
    <rPh sb="2" eb="3">
      <t>タ</t>
    </rPh>
    <rPh sb="3" eb="5">
      <t>テアテ</t>
    </rPh>
    <phoneticPr fontId="15"/>
  </si>
  <si>
    <t>所定福利費</t>
    <rPh sb="0" eb="5">
      <t>ショテイフクリヒ</t>
    </rPh>
    <phoneticPr fontId="15"/>
  </si>
  <si>
    <t>　　うち退職給与引当金繰入額</t>
    <rPh sb="4" eb="6">
      <t>タイショク</t>
    </rPh>
    <rPh sb="6" eb="8">
      <t>キュウヨ</t>
    </rPh>
    <rPh sb="8" eb="10">
      <t>ヒキアテ</t>
    </rPh>
    <rPh sb="10" eb="11">
      <t>キン</t>
    </rPh>
    <rPh sb="11" eb="13">
      <t>クリイレ</t>
    </rPh>
    <rPh sb="13" eb="14">
      <t>ガク</t>
    </rPh>
    <phoneticPr fontId="15"/>
  </si>
  <si>
    <t>円）</t>
    <phoneticPr fontId="3"/>
  </si>
  <si>
    <t>　　うち減価償却費</t>
    <rPh sb="4" eb="9">
      <t>ゲンカショウキャクヒ</t>
    </rPh>
    <phoneticPr fontId="15"/>
  </si>
  <si>
    <t>円</t>
    <phoneticPr fontId="3"/>
  </si>
  <si>
    <t>ご確認欄</t>
    <phoneticPr fontId="15"/>
  </si>
  <si>
    <t>日本私立学校振興・共済事業団に提出した「学校法人基礎調査」の各年度の個別データについて、
日本私立中学高等学校連合会が日本私立学校振興・共済事業団から提供を受けることを当学校法人は承諾します。
ただし、下記調査項目は提供対象から除きます。
【調査票区分０７５】「役員数・役員個人票」【調査票区分８２０】「借入金等残高内訳表」
【調査票区分８３０】「計算書類記載事項１」【調査票区分８４０】「計算書類記載事項２」
【調査票区分８５０】「収益事業」</t>
    <rPh sb="84" eb="85">
      <t>トウ</t>
    </rPh>
    <rPh sb="85" eb="89">
      <t>ガッコウホウジン</t>
    </rPh>
    <rPh sb="108" eb="110">
      <t>テイキョウ</t>
    </rPh>
    <rPh sb="174" eb="178">
      <t>ケイサンショルイ</t>
    </rPh>
    <rPh sb="178" eb="182">
      <t>キサイジコウ</t>
    </rPh>
    <rPh sb="217" eb="221">
      <t>シュウエキジギョウ</t>
    </rPh>
    <phoneticPr fontId="15"/>
  </si>
  <si>
    <t>（注）</t>
    <phoneticPr fontId="3"/>
  </si>
  <si>
    <t>「その他（　　　）」の学科欄には、その他学科のうち納付金額の合計が最も高い学科・コース等の金額を記入してください。</t>
    <phoneticPr fontId="15"/>
  </si>
  <si>
    <r>
      <t xml:space="preserve">Aのうち通信制高校への転編入・転籍者数
</t>
    </r>
    <r>
      <rPr>
        <b/>
        <sz val="9"/>
        <rFont val="ＭＳ Ｐゴシック"/>
        <family val="3"/>
        <charset val="128"/>
      </rPr>
      <t>(B)</t>
    </r>
    <rPh sb="15" eb="17">
      <t>テンセキ</t>
    </rPh>
    <phoneticPr fontId="15"/>
  </si>
  <si>
    <t>(併置校の場合)
Bのうち自校設置の通信制課程への転籍者数</t>
    <phoneticPr fontId="15"/>
  </si>
  <si>
    <t>病気・けが・死亡等</t>
    <phoneticPr fontId="3"/>
  </si>
  <si>
    <r>
      <t xml:space="preserve">計
</t>
    </r>
    <r>
      <rPr>
        <b/>
        <sz val="9"/>
        <rFont val="ＭＳ Ｐゴシック"/>
        <family val="3"/>
        <charset val="128"/>
      </rPr>
      <t>(A)</t>
    </r>
    <phoneticPr fontId="3"/>
  </si>
  <si>
    <r>
      <t>（単位：</t>
    </r>
    <r>
      <rPr>
        <b/>
        <sz val="10"/>
        <color rgb="FFFF0000"/>
        <rFont val="ＭＳ Ｐゴシック"/>
        <family val="3"/>
        <charset val="128"/>
      </rPr>
      <t>円</t>
    </r>
    <r>
      <rPr>
        <b/>
        <sz val="10"/>
        <color theme="1"/>
        <rFont val="ＭＳ Ｐゴシック"/>
        <family val="3"/>
        <charset val="128"/>
      </rPr>
      <t>）</t>
    </r>
    <rPh sb="1" eb="3">
      <t>タンイ</t>
    </rPh>
    <phoneticPr fontId="3"/>
  </si>
  <si>
    <t>本   票（高等学校　定時制）</t>
    <rPh sb="0" eb="1">
      <t>ホン</t>
    </rPh>
    <rPh sb="6" eb="10">
      <t>コウトウガッコウ</t>
    </rPh>
    <phoneticPr fontId="3"/>
  </si>
  <si>
    <t>入学状況</t>
    <rPh sb="0" eb="1">
      <t>イリ</t>
    </rPh>
    <rPh sb="1" eb="2">
      <t>ガク</t>
    </rPh>
    <rPh sb="2" eb="3">
      <t>ジョウ</t>
    </rPh>
    <rPh sb="3" eb="4">
      <t>キョウ</t>
    </rPh>
    <phoneticPr fontId="3"/>
  </si>
  <si>
    <t>特別支出計（資産処分差額等）</t>
    <rPh sb="0" eb="2">
      <t>トクベツ</t>
    </rPh>
    <rPh sb="2" eb="4">
      <t>シシュツ</t>
    </rPh>
    <rPh sb="4" eb="5">
      <t>ケイ</t>
    </rPh>
    <rPh sb="8" eb="10">
      <t>ショブン</t>
    </rPh>
    <phoneticPr fontId="16"/>
  </si>
  <si>
    <t>Ⅲ．生徒１人当りの納付金【年額】→学校法人基礎調査[130]</t>
    <phoneticPr fontId="3"/>
  </si>
  <si>
    <t>Ⅰ．入学状況・生徒数（本科のみ）→学校法人基礎調査[110]</t>
    <rPh sb="2" eb="4">
      <t>ニュウガク</t>
    </rPh>
    <rPh sb="4" eb="6">
      <t>ジョウキョウ</t>
    </rPh>
    <rPh sb="7" eb="10">
      <t>セイトスウ</t>
    </rPh>
    <rPh sb="11" eb="13">
      <t>ホンカ</t>
    </rPh>
    <phoneticPr fontId="3"/>
  </si>
  <si>
    <t>Ⅱ．学級数→学校法人基礎調査[110]</t>
    <rPh sb="2" eb="4">
      <t>ガッキュウ</t>
    </rPh>
    <rPh sb="4" eb="5">
      <t>スウ</t>
    </rPh>
    <phoneticPr fontId="3"/>
  </si>
  <si>
    <t>日本私立中学高等学校連合会</t>
    <rPh sb="0" eb="2">
      <t>ニホン</t>
    </rPh>
    <rPh sb="2" eb="4">
      <t>シリツ</t>
    </rPh>
    <rPh sb="4" eb="6">
      <t>チュウガク</t>
    </rPh>
    <rPh sb="6" eb="8">
      <t>コウトウ</t>
    </rPh>
    <rPh sb="8" eb="10">
      <t>ガッコウ</t>
    </rPh>
    <rPh sb="10" eb="12">
      <t>レンゴウ</t>
    </rPh>
    <rPh sb="12" eb="13">
      <t>カイ</t>
    </rPh>
    <phoneticPr fontId="3"/>
  </si>
  <si>
    <t>メール
アドレス</t>
    <phoneticPr fontId="3"/>
  </si>
  <si>
    <t>学校法人名</t>
    <rPh sb="0" eb="1">
      <t>ガク</t>
    </rPh>
    <rPh sb="1" eb="2">
      <t>コウ</t>
    </rPh>
    <phoneticPr fontId="3"/>
  </si>
  <si>
    <t>ご確認欄にチェックを入れていただくと、回答不要な項目が黒塗りされます。
ただし、令和８年度 「学校法人基礎調査」 への回答を予定していない学校は、チェックを入れないでください。</t>
    <rPh sb="1" eb="3">
      <t>カクニン</t>
    </rPh>
    <rPh sb="3" eb="4">
      <t>ラン</t>
    </rPh>
    <rPh sb="10" eb="11">
      <t>イ</t>
    </rPh>
    <rPh sb="19" eb="23">
      <t>カイトウフヨウ</t>
    </rPh>
    <rPh sb="24" eb="26">
      <t>コウモク</t>
    </rPh>
    <rPh sb="27" eb="29">
      <t>クロヌ</t>
    </rPh>
    <rPh sb="62" eb="64">
      <t>ヨテイ</t>
    </rPh>
    <rPh sb="69" eb="71">
      <t>ガッコウ</t>
    </rPh>
    <rPh sb="78" eb="79">
      <t>イ</t>
    </rPh>
    <phoneticPr fontId="15"/>
  </si>
  <si>
    <t>①都道府県名</t>
    <rPh sb="1" eb="6">
      <t>トドウフケンメイ</t>
    </rPh>
    <phoneticPr fontId="15"/>
  </si>
  <si>
    <t>②学校名</t>
    <rPh sb="1" eb="4">
      <t>ガッコウメイ</t>
    </rPh>
    <phoneticPr fontId="15"/>
  </si>
  <si>
    <t>③学校コード</t>
    <rPh sb="1" eb="3">
      <t>ガッコウ</t>
    </rPh>
    <phoneticPr fontId="15"/>
  </si>
  <si>
    <t>【回答が必要な項目は以下の通りです】</t>
    <phoneticPr fontId="61"/>
  </si>
  <si>
    <t>令和８年度　私立中学高等学校実態調査</t>
    <rPh sb="6" eb="8">
      <t>シリツ</t>
    </rPh>
    <rPh sb="8" eb="10">
      <t>チュウガク</t>
    </rPh>
    <rPh sb="10" eb="12">
      <t>コウトウ</t>
    </rPh>
    <rPh sb="12" eb="14">
      <t>ガッコウ</t>
    </rPh>
    <rPh sb="14" eb="16">
      <t>ジッタイ</t>
    </rPh>
    <rPh sb="16" eb="18">
      <t>チョウサ</t>
    </rPh>
    <phoneticPr fontId="3"/>
  </si>
  <si>
    <t>【高等学校　定時制】</t>
    <rPh sb="6" eb="8">
      <t>テイジ</t>
    </rPh>
    <phoneticPr fontId="3"/>
  </si>
  <si>
    <t>④高校設置課程</t>
    <rPh sb="1" eb="3">
      <t>コウコウ</t>
    </rPh>
    <rPh sb="3" eb="7">
      <t>セッチカテイ</t>
    </rPh>
    <phoneticPr fontId="15"/>
  </si>
  <si>
    <t>最初に選択してください</t>
    <rPh sb="0" eb="2">
      <t>サイショ</t>
    </rPh>
    <rPh sb="3" eb="5">
      <t>センタク</t>
    </rPh>
    <phoneticPr fontId="15"/>
  </si>
  <si>
    <t>訂正、
変更</t>
    <rPh sb="0" eb="2">
      <t>テイセイ</t>
    </rPh>
    <rPh sb="4" eb="6">
      <t>ヘンコウ</t>
    </rPh>
    <phoneticPr fontId="15"/>
  </si>
  <si>
    <t>⑤回答者問い合わせ先</t>
    <rPh sb="1" eb="4">
      <t>カイトウシャ</t>
    </rPh>
    <rPh sb="4" eb="5">
      <t>ト</t>
    </rPh>
    <rPh sb="6" eb="7">
      <t>ア</t>
    </rPh>
    <rPh sb="9" eb="10">
      <t>サキ</t>
    </rPh>
    <phoneticPr fontId="16"/>
  </si>
  <si>
    <t>⑥法人情報・学校情報・学校法人基礎調査との情報連携の同意</t>
    <rPh sb="1" eb="3">
      <t>ホウジン</t>
    </rPh>
    <rPh sb="3" eb="5">
      <t>ジョウホウ</t>
    </rPh>
    <rPh sb="6" eb="10">
      <t>ガッコウジョウホウ</t>
    </rPh>
    <rPh sb="11" eb="19">
      <t>ガッコウホウジンキソチョウサ</t>
    </rPh>
    <rPh sb="21" eb="25">
      <t>ジョウホウレンケイ</t>
    </rPh>
    <rPh sb="26" eb="28">
      <t>ドウイ</t>
    </rPh>
    <phoneticPr fontId="15"/>
  </si>
  <si>
    <r>
      <t xml:space="preserve">法人所在地
</t>
    </r>
    <r>
      <rPr>
        <sz val="8"/>
        <color theme="1"/>
        <rFont val="ＭＳ Ｐ明朝"/>
        <family val="1"/>
        <charset val="128"/>
      </rPr>
      <t>(〒不要)</t>
    </r>
    <rPh sb="0" eb="2">
      <t>ホウジン</t>
    </rPh>
    <rPh sb="8" eb="10">
      <t>フヨウ</t>
    </rPh>
    <phoneticPr fontId="3"/>
  </si>
  <si>
    <r>
      <t xml:space="preserve">学校所在地
</t>
    </r>
    <r>
      <rPr>
        <sz val="8"/>
        <color theme="1"/>
        <rFont val="ＭＳ Ｐ明朝"/>
        <family val="1"/>
        <charset val="128"/>
      </rPr>
      <t>(〒不要)</t>
    </r>
    <rPh sb="0" eb="2">
      <t>ガッコウ</t>
    </rPh>
    <rPh sb="2" eb="5">
      <t>ショザイチ</t>
    </rPh>
    <rPh sb="7" eb="10">
      <t>ユウビンバンゴウフヨウ</t>
    </rPh>
    <phoneticPr fontId="3"/>
  </si>
  <si>
    <t>本科(１～４年)の
男女別生徒数を記入してください</t>
    <phoneticPr fontId="15"/>
  </si>
  <si>
    <r>
      <t>（単位：</t>
    </r>
    <r>
      <rPr>
        <b/>
        <sz val="10"/>
        <color rgb="FFFF0000"/>
        <rFont val="ＭＳ Ｐゴシック"/>
        <family val="3"/>
        <charset val="128"/>
      </rPr>
      <t>円</t>
    </r>
    <r>
      <rPr>
        <sz val="10"/>
        <color theme="1"/>
        <rFont val="ＭＳ Ｐゴシック"/>
        <family val="3"/>
        <charset val="128"/>
      </rPr>
      <t>）</t>
    </r>
    <phoneticPr fontId="15"/>
  </si>
  <si>
    <t>都道府県私学退職金団体負担金
・私立大学退職金財団負担金</t>
    <rPh sb="0" eb="9">
      <t>トドウフケンシガクタイショクキン</t>
    </rPh>
    <rPh sb="9" eb="14">
      <t>ダンタイフタンキン</t>
    </rPh>
    <rPh sb="16" eb="23">
      <t>シリツダイガクタイショクキン</t>
    </rPh>
    <rPh sb="23" eb="25">
      <t>ザイダン</t>
    </rPh>
    <rPh sb="25" eb="28">
      <t>フタンキン</t>
    </rPh>
    <phoneticPr fontId="15"/>
  </si>
  <si>
    <r>
      <t>(参考)教職員一人当たり人件費</t>
    </r>
    <r>
      <rPr>
        <vertAlign val="superscript"/>
        <sz val="12"/>
        <color theme="1"/>
        <rFont val="ＭＳ Ｐ明朝"/>
        <family val="1"/>
        <charset val="128"/>
      </rPr>
      <t>＊</t>
    </r>
    <rPh sb="1" eb="3">
      <t>サンコウ</t>
    </rPh>
    <rPh sb="4" eb="7">
      <t>キョウショクイン</t>
    </rPh>
    <rPh sb="7" eb="9">
      <t>ヒトリ</t>
    </rPh>
    <rPh sb="9" eb="10">
      <t>ア</t>
    </rPh>
    <rPh sb="12" eb="15">
      <t>ジンケンヒ</t>
    </rPh>
    <phoneticPr fontId="15"/>
  </si>
  <si>
    <t>＊令和７年度人件費÷令和８年度教職員数で算出。異なる年度の教職員数で割っているため、
　昨年度から教職員数が変動している場合は、必ずしも実態を反映しておりません。</t>
    <rPh sb="20" eb="22">
      <t>サンシュツ</t>
    </rPh>
    <rPh sb="44" eb="47">
      <t>サクネンド</t>
    </rPh>
    <rPh sb="49" eb="53">
      <t>キョウショクインスウ</t>
    </rPh>
    <rPh sb="54" eb="56">
      <t>ヘンドウ</t>
    </rPh>
    <rPh sb="60" eb="62">
      <t>バアイ</t>
    </rPh>
    <rPh sb="64" eb="65">
      <t>カナラ</t>
    </rPh>
    <rPh sb="68" eb="70">
      <t>ジッタイ</t>
    </rPh>
    <rPh sb="71" eb="73">
      <t>ハンエイ</t>
    </rPh>
    <phoneticPr fontId="15"/>
  </si>
  <si>
    <r>
      <t>（参考）生徒一人当たり学生生徒等納付金</t>
    </r>
    <r>
      <rPr>
        <vertAlign val="superscript"/>
        <sz val="12"/>
        <color theme="1"/>
        <rFont val="ＭＳ Ｐ明朝"/>
        <family val="1"/>
        <charset val="128"/>
      </rPr>
      <t>＊</t>
    </r>
    <rPh sb="1" eb="3">
      <t>サンコウ</t>
    </rPh>
    <rPh sb="4" eb="6">
      <t>セイト</t>
    </rPh>
    <rPh sb="6" eb="8">
      <t>ヒトリ</t>
    </rPh>
    <rPh sb="8" eb="9">
      <t>ア</t>
    </rPh>
    <rPh sb="11" eb="13">
      <t>ガクセイ</t>
    </rPh>
    <rPh sb="13" eb="16">
      <t>セイトナド</t>
    </rPh>
    <rPh sb="16" eb="19">
      <t>ノウフキン</t>
    </rPh>
    <phoneticPr fontId="15"/>
  </si>
  <si>
    <t>＊令和７年度学生生徒等納付金÷令和８年度生徒数で算出。異なる年度の生徒数で割っているため、
　昨年度から生徒数が変動している場合等は、必ずしも実態を反映しておりません。</t>
    <rPh sb="6" eb="8">
      <t>ガクセイ</t>
    </rPh>
    <rPh sb="8" eb="11">
      <t>セイトナド</t>
    </rPh>
    <rPh sb="11" eb="14">
      <t>ノウフキン</t>
    </rPh>
    <rPh sb="20" eb="22">
      <t>セイト</t>
    </rPh>
    <rPh sb="24" eb="26">
      <t>サンシュツ</t>
    </rPh>
    <rPh sb="33" eb="35">
      <t>セイト</t>
    </rPh>
    <rPh sb="47" eb="50">
      <t>サクネンド</t>
    </rPh>
    <rPh sb="52" eb="54">
      <t>セイト</t>
    </rPh>
    <rPh sb="54" eb="55">
      <t>スウ</t>
    </rPh>
    <rPh sb="56" eb="58">
      <t>ヘンドウ</t>
    </rPh>
    <rPh sb="62" eb="64">
      <t>バアイ</t>
    </rPh>
    <rPh sb="64" eb="65">
      <t>ナド</t>
    </rPh>
    <rPh sb="67" eb="68">
      <t>カナラ</t>
    </rPh>
    <rPh sb="71" eb="73">
      <t>ジッタイ</t>
    </rPh>
    <rPh sb="74" eb="76">
      <t>ハンエイ</t>
    </rPh>
    <phoneticPr fontId="15"/>
  </si>
  <si>
    <t>１．令和７年度中における中途退学・転学者と通信制高校への転編入者について</t>
    <rPh sb="17" eb="18">
      <t>テン</t>
    </rPh>
    <rPh sb="18" eb="20">
      <t>ガクシャ</t>
    </rPh>
    <rPh sb="21" eb="24">
      <t>ツウシンセイ</t>
    </rPh>
    <rPh sb="24" eb="26">
      <t>コウコウ</t>
    </rPh>
    <rPh sb="28" eb="29">
      <t>テン</t>
    </rPh>
    <rPh sb="29" eb="31">
      <t>ヘンニュウ</t>
    </rPh>
    <phoneticPr fontId="3"/>
  </si>
  <si>
    <t>令和7年
4月1日現在
在籍生徒数
（1～4年生）　　　　　　　　　　　</t>
    <rPh sb="6" eb="7">
      <t>ガツ</t>
    </rPh>
    <rPh sb="12" eb="14">
      <t>ザイセキ</t>
    </rPh>
    <rPh sb="22" eb="24">
      <t>ネンセイ</t>
    </rPh>
    <phoneticPr fontId="5"/>
  </si>
  <si>
    <t>うち令和７年度中の中途退学者、他校への転学・編入者、転籍者</t>
    <rPh sb="13" eb="14">
      <t>シャ</t>
    </rPh>
    <rPh sb="15" eb="17">
      <t>タコウ</t>
    </rPh>
    <rPh sb="19" eb="20">
      <t>テン</t>
    </rPh>
    <rPh sb="22" eb="23">
      <t>ヘン</t>
    </rPh>
    <rPh sb="24" eb="25">
      <t>シャ</t>
    </rPh>
    <rPh sb="26" eb="29">
      <t>テンセキシャ</t>
    </rPh>
    <phoneticPr fontId="3"/>
  </si>
  <si>
    <t>令和８年３月
卒業者数</t>
    <rPh sb="5" eb="6">
      <t>ガツ</t>
    </rPh>
    <rPh sb="7" eb="8">
      <t>ソツ</t>
    </rPh>
    <rPh sb="8" eb="11">
      <t>ギョウシャスウ</t>
    </rPh>
    <rPh sb="10" eb="11">
      <t>スウ</t>
    </rPh>
    <phoneticPr fontId="3"/>
  </si>
  <si>
    <t>✔</t>
    <phoneticPr fontId="15"/>
  </si>
  <si>
    <t>Ⅳ．教職員数（令和８年５月１日現在）→学校法人基礎調査[210]</t>
    <rPh sb="2" eb="5">
      <t>キョウショクイン</t>
    </rPh>
    <rPh sb="5" eb="6">
      <t>スウ</t>
    </rPh>
    <rPh sb="7" eb="9">
      <t>レイワ</t>
    </rPh>
    <rPh sb="10" eb="11">
      <t>ネン</t>
    </rPh>
    <rPh sb="12" eb="13">
      <t>ガツ</t>
    </rPh>
    <rPh sb="14" eb="17">
      <t>ニチゲンザイ</t>
    </rPh>
    <rPh sb="15" eb="17">
      <t>ゲンザイ</t>
    </rPh>
    <phoneticPr fontId="3"/>
  </si>
  <si>
    <t>Ⅴ．令和７年度　本務教職員の人件費支出内訳→学校法人基礎調査[510]</t>
    <rPh sb="10" eb="13">
      <t>キョウショクイン</t>
    </rPh>
    <rPh sb="14" eb="17">
      <t>ジンケンヒ</t>
    </rPh>
    <rPh sb="17" eb="19">
      <t>シシュツ</t>
    </rPh>
    <rPh sb="19" eb="21">
      <t>ウチワケ</t>
    </rPh>
    <phoneticPr fontId="3"/>
  </si>
  <si>
    <t>Ⅵ．令和７年度　事業活動収支内訳　（令和７年度決算）→学校法人基礎調査[610]</t>
    <rPh sb="8" eb="10">
      <t>ジギョウ</t>
    </rPh>
    <rPh sb="10" eb="12">
      <t>カツドウ</t>
    </rPh>
    <rPh sb="12" eb="14">
      <t>シュウシ</t>
    </rPh>
    <rPh sb="14" eb="16">
      <t>ウチワケ</t>
    </rPh>
    <rPh sb="23" eb="25">
      <t>ケッサン</t>
    </rPh>
    <phoneticPr fontId="3"/>
  </si>
  <si>
    <r>
      <t>複数課程を併置する学校は、本調査票で</t>
    </r>
    <r>
      <rPr>
        <b/>
        <u/>
        <sz val="10"/>
        <rFont val="ＭＳ Ｐ明朝"/>
        <family val="1"/>
        <charset val="128"/>
      </rPr>
      <t>　【定時制課程】の事業活動収支内訳　</t>
    </r>
    <r>
      <rPr>
        <sz val="10"/>
        <rFont val="ＭＳ Ｐ明朝"/>
        <family val="1"/>
        <charset val="128"/>
      </rPr>
      <t>をご回答ください。</t>
    </r>
    <rPh sb="20" eb="22">
      <t>テイジ</t>
    </rPh>
    <phoneticPr fontId="15"/>
  </si>
  <si>
    <t>都道府県</t>
    <rPh sb="0" eb="4">
      <t>トドウフケン</t>
    </rPh>
    <phoneticPr fontId="5"/>
  </si>
  <si>
    <t>高等学校名</t>
    <rPh sb="0" eb="4">
      <t>コウトウガッコウ</t>
    </rPh>
    <rPh sb="4" eb="5">
      <t>メイ</t>
    </rPh>
    <phoneticPr fontId="6"/>
  </si>
  <si>
    <t>key-high</t>
  </si>
  <si>
    <t>チェック</t>
    <phoneticPr fontId="3"/>
  </si>
  <si>
    <t>設置過程</t>
    <rPh sb="0" eb="2">
      <t>セッチ</t>
    </rPh>
    <rPh sb="2" eb="4">
      <t>カテイ</t>
    </rPh>
    <phoneticPr fontId="15"/>
  </si>
  <si>
    <t>定時制コード</t>
    <rPh sb="0" eb="3">
      <t>テイジセイ</t>
    </rPh>
    <phoneticPr fontId="4"/>
  </si>
  <si>
    <t>札幌山の手高等学校</t>
  </si>
  <si>
    <t>有</t>
    <rPh sb="0" eb="1">
      <t>アリ</t>
    </rPh>
    <phoneticPr fontId="15"/>
  </si>
  <si>
    <t>全/定時制</t>
  </si>
  <si>
    <t>定時制</t>
    <rPh sb="0" eb="3">
      <t>テイジセイ</t>
    </rPh>
    <phoneticPr fontId="3"/>
  </si>
  <si>
    <t>全/定/通</t>
  </si>
  <si>
    <t>定/通信制</t>
    <rPh sb="0" eb="1">
      <t>サダム</t>
    </rPh>
    <rPh sb="2" eb="5">
      <t>ツウシンセイ</t>
    </rPh>
    <phoneticPr fontId="3"/>
  </si>
  <si>
    <t>東京都</t>
    <rPh sb="0" eb="3">
      <t>トウキョウト</t>
    </rPh>
    <phoneticPr fontId="15"/>
  </si>
  <si>
    <t>福井県</t>
    <rPh sb="0" eb="3">
      <t>フクイケン</t>
    </rPh>
    <phoneticPr fontId="3"/>
  </si>
  <si>
    <t>滋賀県</t>
    <rPh sb="0" eb="3">
      <t>シガケン</t>
    </rPh>
    <phoneticPr fontId="15"/>
  </si>
  <si>
    <t>奈良県</t>
    <rPh sb="0" eb="3">
      <t>ナラケン</t>
    </rPh>
    <phoneticPr fontId="15"/>
  </si>
  <si>
    <t>高知県</t>
    <rPh sb="0" eb="3">
      <t>コウチケン</t>
    </rPh>
    <phoneticPr fontId="15"/>
  </si>
  <si>
    <t>北海道札幌山の手高等学校</t>
  </si>
  <si>
    <t>東京都中央大学高等学校</t>
  </si>
  <si>
    <t>東京都駿台学園高等学校</t>
  </si>
  <si>
    <t>東京都国士舘高等学校</t>
  </si>
  <si>
    <t>福井県福井南高等学校</t>
  </si>
  <si>
    <t>滋賀県綾羽高等学校</t>
  </si>
  <si>
    <t>奈良県天理高等学校</t>
  </si>
  <si>
    <t>高知県太平洋学園高等学校</t>
  </si>
  <si>
    <t>↑④に変更がある場合は選択</t>
  </si>
  <si>
    <t>入学検定料*</t>
    <rPh sb="0" eb="2">
      <t>ニュウガク</t>
    </rPh>
    <rPh sb="2" eb="4">
      <t>ケンテイ</t>
    </rPh>
    <rPh sb="4" eb="5">
      <t>リョウ</t>
    </rPh>
    <phoneticPr fontId="15"/>
  </si>
  <si>
    <r>
      <t>計</t>
    </r>
    <r>
      <rPr>
        <sz val="8"/>
        <color theme="1"/>
        <rFont val="ＭＳ Ｐゴシック"/>
        <family val="3"/>
        <charset val="128"/>
      </rPr>
      <t>（*入学検定料を除く)</t>
    </r>
    <rPh sb="0" eb="1">
      <t>ケイ</t>
    </rPh>
    <rPh sb="3" eb="5">
      <t>ニュウガク</t>
    </rPh>
    <rPh sb="5" eb="7">
      <t>ケンテイ</t>
    </rPh>
    <rPh sb="7" eb="8">
      <t>リョウ</t>
    </rPh>
    <rPh sb="9" eb="10">
      <t>ノゾ</t>
    </rPh>
    <phoneticPr fontId="15"/>
  </si>
  <si>
    <t>選択↓</t>
    <rPh sb="0" eb="2">
      <t>センタク</t>
    </rPh>
    <phoneticPr fontId="3"/>
  </si>
  <si>
    <t>令和８年度　私立中学高等学校実態調査（案）</t>
    <rPh sb="6" eb="8">
      <t>シリツ</t>
    </rPh>
    <rPh sb="8" eb="10">
      <t>チュウガク</t>
    </rPh>
    <rPh sb="10" eb="12">
      <t>コウトウ</t>
    </rPh>
    <rPh sb="12" eb="14">
      <t>ガッコウ</t>
    </rPh>
    <rPh sb="14" eb="16">
      <t>ジッタイ</t>
    </rPh>
    <rPh sb="16" eb="18">
      <t>チョウサ</t>
    </rPh>
    <rPh sb="19" eb="20">
      <t>アン</t>
    </rPh>
    <phoneticPr fontId="3"/>
  </si>
  <si>
    <t>○</t>
    <phoneticPr fontId="15"/>
  </si>
  <si>
    <t>【高等学校　通信制】</t>
    <rPh sb="6" eb="8">
      <t>ツウシン</t>
    </rPh>
    <phoneticPr fontId="3"/>
  </si>
  <si>
    <t>最初に選択してください</t>
  </si>
  <si>
    <t>※メールアドレスは、本調査の問い合わせにのみ使用します</t>
  </si>
  <si>
    <t>本校分校別</t>
    <rPh sb="0" eb="2">
      <t>ホンコウ</t>
    </rPh>
    <rPh sb="2" eb="4">
      <t>ブンコウ</t>
    </rPh>
    <rPh sb="4" eb="5">
      <t>ベツ</t>
    </rPh>
    <phoneticPr fontId="3"/>
  </si>
  <si>
    <t>独立・併置別</t>
    <rPh sb="0" eb="2">
      <t>ドクリツ</t>
    </rPh>
    <rPh sb="3" eb="5">
      <t>ヘイチ</t>
    </rPh>
    <rPh sb="5" eb="6">
      <t>ベツ</t>
    </rPh>
    <phoneticPr fontId="3"/>
  </si>
  <si>
    <t>広域・狭域別</t>
    <rPh sb="0" eb="2">
      <t>コウイキ</t>
    </rPh>
    <rPh sb="3" eb="5">
      <t>キョウイキ</t>
    </rPh>
    <rPh sb="5" eb="6">
      <t>ベツ</t>
    </rPh>
    <phoneticPr fontId="3"/>
  </si>
  <si>
    <t>男女共学別</t>
    <phoneticPr fontId="3"/>
  </si>
  <si>
    <t>通信制の
修業年限</t>
    <rPh sb="0" eb="3">
      <t>ツウシンセイ</t>
    </rPh>
    <rPh sb="5" eb="7">
      <t>シュウギョウ</t>
    </rPh>
    <rPh sb="7" eb="9">
      <t>ネンゲン</t>
    </rPh>
    <phoneticPr fontId="3"/>
  </si>
  <si>
    <t>（注）1</t>
    <phoneticPr fontId="3"/>
  </si>
  <si>
    <t>該当する番号を四角枠内で選択してください（セルを選択し▼をクリック）。</t>
    <phoneticPr fontId="3"/>
  </si>
  <si>
    <t>1.本校</t>
    <phoneticPr fontId="3"/>
  </si>
  <si>
    <t>1.独立校</t>
    <rPh sb="2" eb="3">
      <t>ドク</t>
    </rPh>
    <rPh sb="3" eb="4">
      <t>タチ</t>
    </rPh>
    <rPh sb="4" eb="5">
      <t>コウ</t>
    </rPh>
    <phoneticPr fontId="3"/>
  </si>
  <si>
    <t>1.広域</t>
    <rPh sb="2" eb="3">
      <t>ヒロシ</t>
    </rPh>
    <rPh sb="3" eb="4">
      <t>イキ</t>
    </rPh>
    <phoneticPr fontId="3"/>
  </si>
  <si>
    <t>1.男子校</t>
    <rPh sb="2" eb="5">
      <t>ダンシコウ</t>
    </rPh>
    <phoneticPr fontId="3"/>
  </si>
  <si>
    <r>
      <t>（全日・定時制課程併置</t>
    </r>
    <r>
      <rPr>
        <b/>
        <u/>
        <sz val="9"/>
        <color theme="1"/>
        <rFont val="ＭＳ Ｐゴシック"/>
        <family val="3"/>
        <charset val="128"/>
      </rPr>
      <t>なし</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</si>
  <si>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３</t>
    </r>
    <r>
      <rPr>
        <sz val="9"/>
        <color theme="1"/>
        <rFont val="ＭＳ Ｐゴシック"/>
        <family val="3"/>
        <charset val="128"/>
      </rPr>
      <t>都道府県</t>
    </r>
    <r>
      <rPr>
        <b/>
        <u/>
        <sz val="9"/>
        <color theme="1"/>
        <rFont val="ＭＳ Ｐゴシック"/>
        <family val="3"/>
        <charset val="128"/>
      </rPr>
      <t>以上</t>
    </r>
    <r>
      <rPr>
        <sz val="9"/>
        <color theme="1"/>
        <rFont val="ＭＳ Ｐゴシック"/>
        <family val="3"/>
        <charset val="128"/>
      </rPr>
      <t>）</t>
    </r>
    <rPh sb="1" eb="3">
      <t>ニュウガク</t>
    </rPh>
    <rPh sb="3" eb="5">
      <t>カノウ</t>
    </rPh>
    <rPh sb="5" eb="6">
      <t>イキ</t>
    </rPh>
    <rPh sb="7" eb="11">
      <t>トドウフケン</t>
    </rPh>
    <rPh sb="11" eb="13">
      <t>イジョウ</t>
    </rPh>
    <phoneticPr fontId="3"/>
  </si>
  <si>
    <t>2.女子校</t>
    <rPh sb="2" eb="5">
      <t>ジョシコウ</t>
    </rPh>
    <phoneticPr fontId="3"/>
  </si>
  <si>
    <t>2.分校</t>
    <phoneticPr fontId="3"/>
  </si>
  <si>
    <t>2.併置校</t>
    <rPh sb="2" eb="4">
      <t>ヘイチ</t>
    </rPh>
    <rPh sb="4" eb="5">
      <t>コウ</t>
    </rPh>
    <phoneticPr fontId="3"/>
  </si>
  <si>
    <t>2.狭域</t>
    <rPh sb="2" eb="3">
      <t>キョウ</t>
    </rPh>
    <rPh sb="3" eb="4">
      <t>イキ</t>
    </rPh>
    <phoneticPr fontId="3"/>
  </si>
  <si>
    <t>3.共学校</t>
    <rPh sb="2" eb="4">
      <t>キョウガク</t>
    </rPh>
    <rPh sb="4" eb="5">
      <t>コウ</t>
    </rPh>
    <phoneticPr fontId="3"/>
  </si>
  <si>
    <t>年以上</t>
    <rPh sb="0" eb="1">
      <t>ネン</t>
    </rPh>
    <rPh sb="1" eb="3">
      <t>イジョウ</t>
    </rPh>
    <phoneticPr fontId="3"/>
  </si>
  <si>
    <t>（注）2</t>
    <phoneticPr fontId="3"/>
  </si>
  <si>
    <t>該当番号を
選択</t>
    <rPh sb="0" eb="2">
      <t>ガイトウ</t>
    </rPh>
    <rPh sb="2" eb="4">
      <t>バンゴウ</t>
    </rPh>
    <rPh sb="6" eb="8">
      <t>センタク</t>
    </rPh>
    <phoneticPr fontId="3"/>
  </si>
  <si>
    <r>
      <t>（全日・定時制課程併置</t>
    </r>
    <r>
      <rPr>
        <b/>
        <u/>
        <sz val="9"/>
        <color theme="1"/>
        <rFont val="ＭＳ Ｐゴシック"/>
        <family val="3"/>
        <charset val="128"/>
      </rPr>
      <t>あり</t>
    </r>
    <r>
      <rPr>
        <sz val="9"/>
        <color theme="1"/>
        <rFont val="ＭＳ Ｐゴシック"/>
        <family val="3"/>
        <charset val="128"/>
      </rPr>
      <t>）</t>
    </r>
    <rPh sb="1" eb="3">
      <t>ゼンニチ</t>
    </rPh>
    <rPh sb="4" eb="6">
      <t>テイジ</t>
    </rPh>
    <rPh sb="6" eb="7">
      <t>セイ</t>
    </rPh>
    <rPh sb="7" eb="9">
      <t>カテイ</t>
    </rPh>
    <rPh sb="9" eb="11">
      <t>ヘイチ</t>
    </rPh>
    <phoneticPr fontId="3"/>
  </si>
  <si>
    <r>
      <t>（入学可能域</t>
    </r>
    <r>
      <rPr>
        <b/>
        <u/>
        <sz val="9"/>
        <color theme="1"/>
        <rFont val="ＭＳ Ｐゴシック"/>
        <family val="3"/>
        <charset val="128"/>
      </rPr>
      <t>２</t>
    </r>
    <r>
      <rPr>
        <sz val="9"/>
        <color theme="1"/>
        <rFont val="ＭＳ Ｐゴシック"/>
        <family val="3"/>
        <charset val="128"/>
      </rPr>
      <t>都道府県</t>
    </r>
    <r>
      <rPr>
        <b/>
        <u/>
        <sz val="9"/>
        <color theme="1"/>
        <rFont val="ＭＳ Ｐゴシック"/>
        <family val="3"/>
        <charset val="128"/>
      </rPr>
      <t>以内</t>
    </r>
    <r>
      <rPr>
        <sz val="9"/>
        <color theme="1"/>
        <rFont val="ＭＳ Ｐゴシック"/>
        <family val="3"/>
        <charset val="128"/>
      </rPr>
      <t>）</t>
    </r>
    <rPh sb="1" eb="3">
      <t>ニュウガク</t>
    </rPh>
    <rPh sb="3" eb="5">
      <t>カノウ</t>
    </rPh>
    <rPh sb="5" eb="6">
      <t>イキ</t>
    </rPh>
    <rPh sb="7" eb="11">
      <t>トドウフケン</t>
    </rPh>
    <rPh sb="11" eb="13">
      <t>イナイ</t>
    </rPh>
    <phoneticPr fontId="3"/>
  </si>
  <si>
    <t>（教育課程で定められる標準的な教育の期間）</t>
    <phoneticPr fontId="3"/>
  </si>
  <si>
    <t>「男女共学別」欄は、1学科・1コースのみが共学の場合でも、「共学校」として記入してください。</t>
    <phoneticPr fontId="3"/>
  </si>
  <si>
    <t>↓</t>
    <phoneticPr fontId="3"/>
  </si>
  <si>
    <t>該当番号を選択</t>
    <rPh sb="5" eb="7">
      <t>センタク</t>
    </rPh>
    <phoneticPr fontId="3"/>
  </si>
  <si>
    <t>本　票（高等学校　通信制）</t>
    <rPh sb="0" eb="1">
      <t>ホン</t>
    </rPh>
    <rPh sb="4" eb="8">
      <t>コウトウガッコウ</t>
    </rPh>
    <rPh sb="9" eb="12">
      <t>ツウシンセイ</t>
    </rPh>
    <phoneticPr fontId="3"/>
  </si>
  <si>
    <t>Ⅰ．生徒数（本科のみ）→学校法人基礎調査[120]</t>
    <rPh sb="2" eb="5">
      <t>セイトスウ</t>
    </rPh>
    <rPh sb="6" eb="8">
      <t>ホンカ</t>
    </rPh>
    <phoneticPr fontId="3"/>
  </si>
  <si>
    <t>区分</t>
    <rPh sb="0" eb="1">
      <t>ク</t>
    </rPh>
    <rPh sb="1" eb="2">
      <t>ブン</t>
    </rPh>
    <phoneticPr fontId="3"/>
  </si>
  <si>
    <t>定員人数</t>
    <rPh sb="0" eb="2">
      <t>テイイン</t>
    </rPh>
    <rPh sb="2" eb="4">
      <t>ニンズウ</t>
    </rPh>
    <phoneticPr fontId="3"/>
  </si>
  <si>
    <t>在籍者数</t>
    <rPh sb="0" eb="4">
      <t>ザイセキシャスウ</t>
    </rPh>
    <phoneticPr fontId="3"/>
  </si>
  <si>
    <t>全生徒数の内、
男女別生徒数を
記入してください</t>
    <rPh sb="0" eb="1">
      <t>ゼン</t>
    </rPh>
    <rPh sb="1" eb="3">
      <t>セイト</t>
    </rPh>
    <rPh sb="3" eb="4">
      <t>スウ</t>
    </rPh>
    <rPh sb="5" eb="6">
      <t>ウチ</t>
    </rPh>
    <phoneticPr fontId="3"/>
  </si>
  <si>
    <t>うち男子</t>
    <rPh sb="2" eb="3">
      <t>オトコ</t>
    </rPh>
    <rPh sb="3" eb="4">
      <t>コ</t>
    </rPh>
    <phoneticPr fontId="3"/>
  </si>
  <si>
    <t>うち女子</t>
    <rPh sb="2" eb="3">
      <t>オンナ</t>
    </rPh>
    <rPh sb="3" eb="4">
      <t>コ</t>
    </rPh>
    <phoneticPr fontId="3"/>
  </si>
  <si>
    <t>普通科</t>
    <rPh sb="0" eb="3">
      <t>フツウカ</t>
    </rPh>
    <phoneticPr fontId="3"/>
  </si>
  <si>
    <t>商業に
関する学科</t>
    <rPh sb="0" eb="2">
      <t>ショウギョウ</t>
    </rPh>
    <rPh sb="4" eb="5">
      <t>カン</t>
    </rPh>
    <rPh sb="7" eb="9">
      <t>ガッカ</t>
    </rPh>
    <phoneticPr fontId="3"/>
  </si>
  <si>
    <t>工業に
関する学科</t>
    <rPh sb="0" eb="2">
      <t>コウギョウ</t>
    </rPh>
    <rPh sb="4" eb="5">
      <t>カン</t>
    </rPh>
    <rPh sb="7" eb="9">
      <t>ガッカ</t>
    </rPh>
    <phoneticPr fontId="3"/>
  </si>
  <si>
    <t>家庭に
関する学科</t>
    <rPh sb="0" eb="2">
      <t>カテイ</t>
    </rPh>
    <rPh sb="4" eb="5">
      <t>カン</t>
    </rPh>
    <rPh sb="7" eb="9">
      <t>ガッカ</t>
    </rPh>
    <phoneticPr fontId="3"/>
  </si>
  <si>
    <t>その他学科</t>
    <rPh sb="2" eb="3">
      <t>タ</t>
    </rPh>
    <rPh sb="3" eb="5">
      <t>ガッカ</t>
    </rPh>
    <phoneticPr fontId="3"/>
  </si>
  <si>
    <t>「その他学科」には、学科名を記入してください。</t>
    <phoneticPr fontId="3"/>
  </si>
  <si>
    <t>Ⅱ．在住地別生徒数（５月1日現在）</t>
    <rPh sb="2" eb="4">
      <t>ザイジュウ</t>
    </rPh>
    <rPh sb="4" eb="5">
      <t>チ</t>
    </rPh>
    <phoneticPr fontId="3"/>
  </si>
  <si>
    <t>在籍者（生徒）数</t>
    <rPh sb="0" eb="3">
      <t>ザイセキシャ</t>
    </rPh>
    <rPh sb="4" eb="6">
      <t>セイト</t>
    </rPh>
    <rPh sb="7" eb="8">
      <t>スウ</t>
    </rPh>
    <phoneticPr fontId="3"/>
  </si>
  <si>
    <t>都道府県</t>
    <rPh sb="0" eb="4">
      <t>トドウフケン</t>
    </rPh>
    <phoneticPr fontId="3"/>
  </si>
  <si>
    <t>在住地別生徒数</t>
    <rPh sb="0" eb="2">
      <t>ザイジュウ</t>
    </rPh>
    <rPh sb="2" eb="3">
      <t>チ</t>
    </rPh>
    <rPh sb="3" eb="4">
      <t>ベツ</t>
    </rPh>
    <rPh sb="4" eb="7">
      <t>セイトスウ</t>
    </rPh>
    <phoneticPr fontId="3"/>
  </si>
  <si>
    <t>北海道・東北</t>
    <rPh sb="0" eb="3">
      <t>ホッカイドウ</t>
    </rPh>
    <rPh sb="4" eb="6">
      <t>トウホク</t>
    </rPh>
    <phoneticPr fontId="3"/>
  </si>
  <si>
    <t>1北海道</t>
    <rPh sb="1" eb="4">
      <t>ホッカイドウ</t>
    </rPh>
    <phoneticPr fontId="3"/>
  </si>
  <si>
    <t>近畿</t>
    <rPh sb="0" eb="2">
      <t>キンキ</t>
    </rPh>
    <phoneticPr fontId="3"/>
  </si>
  <si>
    <t>25滋賀</t>
    <rPh sb="2" eb="3">
      <t>シゲル</t>
    </rPh>
    <rPh sb="3" eb="4">
      <t>ガ</t>
    </rPh>
    <phoneticPr fontId="3"/>
  </si>
  <si>
    <t>2青森</t>
    <rPh sb="1" eb="2">
      <t>アオ</t>
    </rPh>
    <rPh sb="2" eb="3">
      <t>モリ</t>
    </rPh>
    <phoneticPr fontId="3"/>
  </si>
  <si>
    <t>26京都</t>
    <rPh sb="2" eb="3">
      <t>キョウ</t>
    </rPh>
    <rPh sb="3" eb="4">
      <t>ミヤコ</t>
    </rPh>
    <phoneticPr fontId="3"/>
  </si>
  <si>
    <t>3岩手</t>
    <rPh sb="1" eb="2">
      <t>イワ</t>
    </rPh>
    <rPh sb="2" eb="3">
      <t>テ</t>
    </rPh>
    <phoneticPr fontId="3"/>
  </si>
  <si>
    <t>27大阪</t>
    <rPh sb="2" eb="3">
      <t>ダイ</t>
    </rPh>
    <rPh sb="3" eb="4">
      <t>サカ</t>
    </rPh>
    <phoneticPr fontId="3"/>
  </si>
  <si>
    <t>4宮城</t>
    <rPh sb="1" eb="2">
      <t>ミヤ</t>
    </rPh>
    <rPh sb="2" eb="3">
      <t>シロ</t>
    </rPh>
    <phoneticPr fontId="3"/>
  </si>
  <si>
    <t>28兵庫</t>
    <rPh sb="2" eb="3">
      <t>ヘイ</t>
    </rPh>
    <rPh sb="3" eb="4">
      <t>コ</t>
    </rPh>
    <phoneticPr fontId="3"/>
  </si>
  <si>
    <t>5秋田</t>
    <rPh sb="1" eb="2">
      <t>アキ</t>
    </rPh>
    <rPh sb="2" eb="3">
      <t>タ</t>
    </rPh>
    <phoneticPr fontId="3"/>
  </si>
  <si>
    <t>29奈良</t>
    <rPh sb="2" eb="3">
      <t>ナ</t>
    </rPh>
    <rPh sb="3" eb="4">
      <t>リョウ</t>
    </rPh>
    <phoneticPr fontId="3"/>
  </si>
  <si>
    <t>6山形</t>
    <rPh sb="1" eb="2">
      <t>ヤマ</t>
    </rPh>
    <rPh sb="2" eb="3">
      <t>ケイ</t>
    </rPh>
    <phoneticPr fontId="3"/>
  </si>
  <si>
    <t>30和歌山</t>
    <rPh sb="2" eb="5">
      <t>ワカヤマ</t>
    </rPh>
    <phoneticPr fontId="3"/>
  </si>
  <si>
    <t>7福島</t>
    <rPh sb="1" eb="2">
      <t>フク</t>
    </rPh>
    <rPh sb="2" eb="3">
      <t>シマ</t>
    </rPh>
    <phoneticPr fontId="3"/>
  </si>
  <si>
    <t>中国</t>
    <rPh sb="0" eb="2">
      <t>チュウゴク</t>
    </rPh>
    <phoneticPr fontId="3"/>
  </si>
  <si>
    <t>31鳥取</t>
    <rPh sb="2" eb="3">
      <t>トリ</t>
    </rPh>
    <rPh sb="3" eb="4">
      <t>トリ</t>
    </rPh>
    <phoneticPr fontId="3"/>
  </si>
  <si>
    <t>8新潟</t>
    <rPh sb="1" eb="2">
      <t>シン</t>
    </rPh>
    <rPh sb="2" eb="3">
      <t>カタ</t>
    </rPh>
    <phoneticPr fontId="3"/>
  </si>
  <si>
    <t>32島根</t>
    <rPh sb="2" eb="3">
      <t>シマ</t>
    </rPh>
    <rPh sb="3" eb="4">
      <t>ネ</t>
    </rPh>
    <phoneticPr fontId="3"/>
  </si>
  <si>
    <t>関東</t>
    <rPh sb="0" eb="2">
      <t>カントウ</t>
    </rPh>
    <phoneticPr fontId="3"/>
  </si>
  <si>
    <t>9茨城</t>
    <rPh sb="1" eb="2">
      <t>イバラ</t>
    </rPh>
    <rPh sb="2" eb="3">
      <t>シロ</t>
    </rPh>
    <phoneticPr fontId="3"/>
  </si>
  <si>
    <t>33岡山</t>
    <rPh sb="2" eb="3">
      <t>オカ</t>
    </rPh>
    <rPh sb="3" eb="4">
      <t>ヤマ</t>
    </rPh>
    <phoneticPr fontId="3"/>
  </si>
  <si>
    <t>10栃木</t>
    <rPh sb="2" eb="3">
      <t>トチ</t>
    </rPh>
    <rPh sb="3" eb="4">
      <t>キ</t>
    </rPh>
    <phoneticPr fontId="3"/>
  </si>
  <si>
    <t>34広島</t>
    <rPh sb="2" eb="3">
      <t>ヒロ</t>
    </rPh>
    <rPh sb="3" eb="4">
      <t>シマ</t>
    </rPh>
    <phoneticPr fontId="3"/>
  </si>
  <si>
    <t>11群馬</t>
    <rPh sb="2" eb="3">
      <t>グン</t>
    </rPh>
    <rPh sb="3" eb="4">
      <t>ウマ</t>
    </rPh>
    <phoneticPr fontId="3"/>
  </si>
  <si>
    <t>35山口</t>
    <rPh sb="2" eb="3">
      <t>ヤマ</t>
    </rPh>
    <rPh sb="3" eb="4">
      <t>クチ</t>
    </rPh>
    <phoneticPr fontId="3"/>
  </si>
  <si>
    <t>12埼玉</t>
    <rPh sb="2" eb="3">
      <t>サキ</t>
    </rPh>
    <rPh sb="3" eb="4">
      <t>タマ</t>
    </rPh>
    <phoneticPr fontId="3"/>
  </si>
  <si>
    <t>四国</t>
    <rPh sb="0" eb="2">
      <t>シコク</t>
    </rPh>
    <phoneticPr fontId="3"/>
  </si>
  <si>
    <t>36徳島</t>
    <rPh sb="2" eb="3">
      <t>トク</t>
    </rPh>
    <rPh sb="3" eb="4">
      <t>シマ</t>
    </rPh>
    <phoneticPr fontId="3"/>
  </si>
  <si>
    <t>13千葉</t>
    <rPh sb="2" eb="3">
      <t>セン</t>
    </rPh>
    <rPh sb="3" eb="4">
      <t>ハ</t>
    </rPh>
    <phoneticPr fontId="3"/>
  </si>
  <si>
    <t>37香川</t>
    <rPh sb="2" eb="3">
      <t>カオリ</t>
    </rPh>
    <rPh sb="3" eb="4">
      <t>カワ</t>
    </rPh>
    <phoneticPr fontId="3"/>
  </si>
  <si>
    <t>14神奈川</t>
    <rPh sb="2" eb="5">
      <t>カナガワ</t>
    </rPh>
    <phoneticPr fontId="3"/>
  </si>
  <si>
    <t>38愛媛</t>
    <rPh sb="2" eb="3">
      <t>アイ</t>
    </rPh>
    <rPh sb="3" eb="4">
      <t>ヒメ</t>
    </rPh>
    <phoneticPr fontId="3"/>
  </si>
  <si>
    <t>15東京</t>
    <rPh sb="2" eb="3">
      <t>ヒガシ</t>
    </rPh>
    <rPh sb="3" eb="4">
      <t>キョウ</t>
    </rPh>
    <phoneticPr fontId="3"/>
  </si>
  <si>
    <t>39高知</t>
    <rPh sb="2" eb="3">
      <t>タカ</t>
    </rPh>
    <rPh sb="3" eb="4">
      <t>チ</t>
    </rPh>
    <phoneticPr fontId="3"/>
  </si>
  <si>
    <t>中部</t>
    <rPh sb="0" eb="2">
      <t>チュウブ</t>
    </rPh>
    <phoneticPr fontId="3"/>
  </si>
  <si>
    <t>16富山</t>
    <rPh sb="2" eb="3">
      <t>トミ</t>
    </rPh>
    <rPh sb="3" eb="4">
      <t>ヤマ</t>
    </rPh>
    <phoneticPr fontId="3"/>
  </si>
  <si>
    <t>九州・沖縄</t>
    <rPh sb="0" eb="2">
      <t>キュウシュウ</t>
    </rPh>
    <rPh sb="3" eb="5">
      <t>オキナワ</t>
    </rPh>
    <phoneticPr fontId="3"/>
  </si>
  <si>
    <t>40福岡</t>
    <rPh sb="2" eb="3">
      <t>フク</t>
    </rPh>
    <rPh sb="3" eb="4">
      <t>オカ</t>
    </rPh>
    <phoneticPr fontId="3"/>
  </si>
  <si>
    <t>17石川</t>
    <rPh sb="2" eb="3">
      <t>イシ</t>
    </rPh>
    <rPh sb="3" eb="4">
      <t>カワ</t>
    </rPh>
    <phoneticPr fontId="3"/>
  </si>
  <si>
    <t>41佐賀</t>
    <rPh sb="2" eb="3">
      <t>サ</t>
    </rPh>
    <rPh sb="3" eb="4">
      <t>ガ</t>
    </rPh>
    <phoneticPr fontId="3"/>
  </si>
  <si>
    <t>18福井</t>
    <rPh sb="2" eb="3">
      <t>フク</t>
    </rPh>
    <rPh sb="3" eb="4">
      <t>セイ</t>
    </rPh>
    <phoneticPr fontId="3"/>
  </si>
  <si>
    <t>42長崎</t>
    <rPh sb="2" eb="3">
      <t>チョウ</t>
    </rPh>
    <rPh sb="3" eb="4">
      <t>ザキ</t>
    </rPh>
    <phoneticPr fontId="3"/>
  </si>
  <si>
    <t>19山梨</t>
    <rPh sb="2" eb="3">
      <t>ヤマ</t>
    </rPh>
    <rPh sb="3" eb="4">
      <t>ナシ</t>
    </rPh>
    <phoneticPr fontId="3"/>
  </si>
  <si>
    <t>43熊本</t>
    <rPh sb="2" eb="3">
      <t>クマ</t>
    </rPh>
    <rPh sb="3" eb="4">
      <t>ホン</t>
    </rPh>
    <phoneticPr fontId="3"/>
  </si>
  <si>
    <t>20長野</t>
    <rPh sb="2" eb="3">
      <t>チョウ</t>
    </rPh>
    <rPh sb="3" eb="4">
      <t>ノ</t>
    </rPh>
    <phoneticPr fontId="3"/>
  </si>
  <si>
    <t>44大分</t>
    <rPh sb="2" eb="3">
      <t>ダイ</t>
    </rPh>
    <rPh sb="3" eb="4">
      <t>ブン</t>
    </rPh>
    <phoneticPr fontId="3"/>
  </si>
  <si>
    <t>21岐阜</t>
    <rPh sb="2" eb="3">
      <t>チマタ</t>
    </rPh>
    <rPh sb="3" eb="4">
      <t>ユタカ</t>
    </rPh>
    <phoneticPr fontId="3"/>
  </si>
  <si>
    <t>45宮崎</t>
    <rPh sb="2" eb="3">
      <t>ミヤ</t>
    </rPh>
    <rPh sb="3" eb="4">
      <t>ザキ</t>
    </rPh>
    <phoneticPr fontId="3"/>
  </si>
  <si>
    <t>22静岡</t>
    <rPh sb="2" eb="3">
      <t>セイ</t>
    </rPh>
    <rPh sb="3" eb="4">
      <t>オカ</t>
    </rPh>
    <phoneticPr fontId="3"/>
  </si>
  <si>
    <t>46鹿児島</t>
    <rPh sb="2" eb="5">
      <t>カゴシマ</t>
    </rPh>
    <phoneticPr fontId="3"/>
  </si>
  <si>
    <t>23愛知</t>
    <rPh sb="2" eb="3">
      <t>アイ</t>
    </rPh>
    <rPh sb="3" eb="4">
      <t>チ</t>
    </rPh>
    <phoneticPr fontId="3"/>
  </si>
  <si>
    <t>47沖縄</t>
    <rPh sb="2" eb="3">
      <t>オキ</t>
    </rPh>
    <rPh sb="3" eb="4">
      <t>ナワ</t>
    </rPh>
    <phoneticPr fontId="3"/>
  </si>
  <si>
    <t>24三重</t>
    <rPh sb="2" eb="3">
      <t>サン</t>
    </rPh>
    <rPh sb="3" eb="4">
      <t>ジュウ</t>
    </rPh>
    <phoneticPr fontId="3"/>
  </si>
  <si>
    <t>海外</t>
    <rPh sb="0" eb="1">
      <t>ウミ</t>
    </rPh>
    <rPh sb="1" eb="2">
      <t>ソト</t>
    </rPh>
    <phoneticPr fontId="3"/>
  </si>
  <si>
    <t>普通科</t>
    <rPh sb="0" eb="1">
      <t>ススム</t>
    </rPh>
    <rPh sb="1" eb="2">
      <t>ツウ</t>
    </rPh>
    <rPh sb="2" eb="3">
      <t>カ</t>
    </rPh>
    <phoneticPr fontId="3"/>
  </si>
  <si>
    <t>商業に関する学科</t>
    <rPh sb="0" eb="2">
      <t>ショウギョウ</t>
    </rPh>
    <rPh sb="3" eb="4">
      <t>カン</t>
    </rPh>
    <rPh sb="6" eb="8">
      <t>ガッカ</t>
    </rPh>
    <phoneticPr fontId="3"/>
  </si>
  <si>
    <t>工業に関する学科</t>
    <rPh sb="0" eb="2">
      <t>コウギョウ</t>
    </rPh>
    <rPh sb="3" eb="4">
      <t>カン</t>
    </rPh>
    <rPh sb="6" eb="8">
      <t>ガッカ</t>
    </rPh>
    <phoneticPr fontId="3"/>
  </si>
  <si>
    <t>家庭に関する学科</t>
    <rPh sb="0" eb="2">
      <t>カテイ</t>
    </rPh>
    <rPh sb="3" eb="4">
      <t>カン</t>
    </rPh>
    <rPh sb="6" eb="8">
      <t>ガッカ</t>
    </rPh>
    <phoneticPr fontId="3"/>
  </si>
  <si>
    <t>その他（）</t>
    <rPh sb="2" eb="3">
      <t>タ</t>
    </rPh>
    <phoneticPr fontId="3"/>
  </si>
  <si>
    <t>備考</t>
    <rPh sb="0" eb="1">
      <t>ソナエ</t>
    </rPh>
    <rPh sb="1" eb="2">
      <t>コウ</t>
    </rPh>
    <phoneticPr fontId="3"/>
  </si>
  <si>
    <t>【通信制】</t>
    <rPh sb="1" eb="3">
      <t>ツウシン</t>
    </rPh>
    <rPh sb="3" eb="4">
      <t>セイ</t>
    </rPh>
    <phoneticPr fontId="3"/>
  </si>
  <si>
    <t>1単位当り授業料</t>
    <rPh sb="1" eb="3">
      <t>タンイ</t>
    </rPh>
    <rPh sb="3" eb="4">
      <t>アタ</t>
    </rPh>
    <rPh sb="5" eb="7">
      <t>ジュギョウ</t>
    </rPh>
    <rPh sb="7" eb="8">
      <t>リョウ</t>
    </rPh>
    <phoneticPr fontId="3"/>
  </si>
  <si>
    <t>円</t>
  </si>
  <si>
    <t>※設定されている場合に記入。学科・コース等によって金額に差がある場合は、最も高い学科・コース等の金額を記入してください。</t>
    <rPh sb="1" eb="3">
      <t>セッテイ</t>
    </rPh>
    <rPh sb="8" eb="10">
      <t>バアイ</t>
    </rPh>
    <rPh sb="11" eb="13">
      <t>キニュウ</t>
    </rPh>
    <rPh sb="25" eb="27">
      <t>キンガク</t>
    </rPh>
    <phoneticPr fontId="15"/>
  </si>
  <si>
    <t>「その他（）」の学科欄には、その他学科のうち納付金額の合計が最も高い学科・コース等の金額を記入してください。</t>
  </si>
  <si>
    <t>Ⅳ．教職員数（令和８年５月１日現在）→学校法人基礎調査[210]</t>
    <rPh sb="1" eb="4">
      <t>キョウショクイン</t>
    </rPh>
    <rPh sb="4" eb="5">
      <t>スウ</t>
    </rPh>
    <rPh sb="6" eb="8">
      <t>レイワ</t>
    </rPh>
    <rPh sb="11" eb="12">
      <t>ガツ</t>
    </rPh>
    <rPh sb="13" eb="16">
      <t>ニチゲンザイ</t>
    </rPh>
    <rPh sb="14" eb="16">
      <t>ゲンザイ</t>
    </rPh>
    <phoneticPr fontId="3"/>
  </si>
  <si>
    <t>Ⅴ．令和７年度本務教職員の人件費支出内訳→学校法人基礎調査[510]</t>
    <rPh sb="9" eb="12">
      <t>キョウショクイン</t>
    </rPh>
    <rPh sb="13" eb="16">
      <t>ジンケンヒ</t>
    </rPh>
    <rPh sb="16" eb="18">
      <t>シシュツ</t>
    </rPh>
    <rPh sb="18" eb="20">
      <t>ウチワケ</t>
    </rPh>
    <phoneticPr fontId="3"/>
  </si>
  <si>
    <r>
      <t>（単位：</t>
    </r>
    <r>
      <rPr>
        <b/>
        <sz val="10"/>
        <color rgb="FFFF0000"/>
        <rFont val="ＭＳ Ｐゴシック"/>
        <family val="3"/>
        <charset val="128"/>
      </rPr>
      <t>円</t>
    </r>
    <r>
      <rPr>
        <b/>
        <sz val="10"/>
        <color theme="1"/>
        <rFont val="ＭＳ Ｐゴシック"/>
        <family val="3"/>
        <charset val="128"/>
      </rPr>
      <t>）</t>
    </r>
    <rPh sb="1" eb="3">
      <t>タンイ</t>
    </rPh>
    <rPh sb="4" eb="5">
      <t>エン</t>
    </rPh>
    <phoneticPr fontId="3"/>
  </si>
  <si>
    <t>都道府県私学退職金
団体負担金</t>
    <rPh sb="0" eb="9">
      <t>トドウフケンシガクタイショクキン</t>
    </rPh>
    <rPh sb="10" eb="15">
      <t>ダンタイフタンキン</t>
    </rPh>
    <phoneticPr fontId="15"/>
  </si>
  <si>
    <t>Ⅵ．令和７年度事業活動収支内訳（令和７年度決算）→学校法人基礎調査[610]</t>
    <rPh sb="7" eb="9">
      <t>ジギョウ</t>
    </rPh>
    <rPh sb="9" eb="11">
      <t>カツドウ</t>
    </rPh>
    <rPh sb="11" eb="13">
      <t>シュウシ</t>
    </rPh>
    <rPh sb="13" eb="15">
      <t>ウチワケ</t>
    </rPh>
    <rPh sb="21" eb="23">
      <t>ケッサン</t>
    </rPh>
    <phoneticPr fontId="3"/>
  </si>
  <si>
    <r>
      <t>複数課程（専攻科を除く）を併置する学校は、本調査票で</t>
    </r>
    <r>
      <rPr>
        <u/>
        <sz val="10"/>
        <rFont val="ＭＳ Ｐ明朝"/>
        <family val="1"/>
        <charset val="128"/>
      </rPr>
      <t>　</t>
    </r>
    <r>
      <rPr>
        <b/>
        <u/>
        <sz val="10"/>
        <rFont val="ＭＳ Ｐ明朝"/>
        <family val="1"/>
        <charset val="128"/>
      </rPr>
      <t>【通信制課程】の事業活動収支内訳　</t>
    </r>
    <r>
      <rPr>
        <sz val="10"/>
        <rFont val="ＭＳ Ｐ明朝"/>
        <family val="1"/>
        <charset val="128"/>
      </rPr>
      <t>をご回答ください。</t>
    </r>
    <rPh sb="0" eb="2">
      <t>フクスウ</t>
    </rPh>
    <rPh sb="2" eb="4">
      <t>カテイ</t>
    </rPh>
    <rPh sb="5" eb="8">
      <t>センコウカ</t>
    </rPh>
    <rPh sb="9" eb="10">
      <t>ノゾ</t>
    </rPh>
    <rPh sb="13" eb="15">
      <t>ヘイチ</t>
    </rPh>
    <rPh sb="17" eb="19">
      <t>ガッコウ</t>
    </rPh>
    <rPh sb="21" eb="24">
      <t>ホンチョウサ</t>
    </rPh>
    <rPh sb="24" eb="25">
      <t>ヒョウ</t>
    </rPh>
    <rPh sb="28" eb="31">
      <t>ツウシンセイ</t>
    </rPh>
    <rPh sb="31" eb="33">
      <t>カテイ</t>
    </rPh>
    <rPh sb="35" eb="41">
      <t>ジギョウカツドウシュウシ</t>
    </rPh>
    <rPh sb="41" eb="43">
      <t>ウチワケ</t>
    </rPh>
    <rPh sb="46" eb="48">
      <t>カイトウ</t>
    </rPh>
    <phoneticPr fontId="15"/>
  </si>
  <si>
    <t>うち退職給与引当金繰入額</t>
    <rPh sb="2" eb="4">
      <t>タイショク</t>
    </rPh>
    <rPh sb="4" eb="6">
      <t>キュウヨ</t>
    </rPh>
    <rPh sb="6" eb="8">
      <t>ヒキアテ</t>
    </rPh>
    <rPh sb="8" eb="9">
      <t>キン</t>
    </rPh>
    <rPh sb="9" eb="11">
      <t>クリイレ</t>
    </rPh>
    <rPh sb="11" eb="12">
      <t>ガク</t>
    </rPh>
    <phoneticPr fontId="15"/>
  </si>
  <si>
    <t>うち減価償却費</t>
    <rPh sb="2" eb="7">
      <t>ゲンカショウキャクヒ</t>
    </rPh>
    <phoneticPr fontId="15"/>
  </si>
  <si>
    <t>（</t>
    <phoneticPr fontId="3"/>
  </si>
  <si>
    <t>（参考）</t>
    <rPh sb="1" eb="3">
      <t>サンコウ</t>
    </rPh>
    <phoneticPr fontId="3"/>
  </si>
  <si>
    <t>別　票（高等学校　通信制）</t>
    <rPh sb="4" eb="8">
      <t>コウトウガッコウ</t>
    </rPh>
    <rPh sb="9" eb="12">
      <t>ツウシンセイ</t>
    </rPh>
    <phoneticPr fontId="3"/>
  </si>
  <si>
    <t>１．令和７年度中における中途退学・転学者について</t>
    <rPh sb="17" eb="18">
      <t>テン</t>
    </rPh>
    <rPh sb="18" eb="20">
      <t>ガクシャ</t>
    </rPh>
    <phoneticPr fontId="3"/>
  </si>
  <si>
    <t>令和７年度在籍者数</t>
    <rPh sb="0" eb="2">
      <t>レイワ</t>
    </rPh>
    <rPh sb="3" eb="5">
      <t>ネンド</t>
    </rPh>
    <rPh sb="5" eb="8">
      <t>ザイセキシャ</t>
    </rPh>
    <rPh sb="8" eb="9">
      <t>スウ</t>
    </rPh>
    <phoneticPr fontId="3"/>
  </si>
  <si>
    <t>（A）のうち
全日制高校へ
の転編入者数</t>
    <rPh sb="7" eb="10">
      <t>ゼンニチセイ</t>
    </rPh>
    <rPh sb="10" eb="12">
      <t>コウコウ</t>
    </rPh>
    <rPh sb="15" eb="16">
      <t>テン</t>
    </rPh>
    <rPh sb="16" eb="18">
      <t>ヘンニュウ</t>
    </rPh>
    <rPh sb="18" eb="19">
      <t>シャ</t>
    </rPh>
    <rPh sb="19" eb="20">
      <t>スウ</t>
    </rPh>
    <phoneticPr fontId="3"/>
  </si>
  <si>
    <t>令和７年４月１日現在在籍生徒数（全年次）</t>
    <rPh sb="0" eb="2">
      <t>レイワ</t>
    </rPh>
    <rPh sb="3" eb="4">
      <t>ネン</t>
    </rPh>
    <rPh sb="8" eb="10">
      <t>ゲンザイ</t>
    </rPh>
    <rPh sb="16" eb="19">
      <t>ゼンネンジ</t>
    </rPh>
    <phoneticPr fontId="3"/>
  </si>
  <si>
    <t>令和７年度間（途中）入学者</t>
    <rPh sb="5" eb="6">
      <t>アイダ</t>
    </rPh>
    <rPh sb="7" eb="9">
      <t>トチュウ</t>
    </rPh>
    <rPh sb="10" eb="13">
      <t>ニュウガクシャ</t>
    </rPh>
    <phoneticPr fontId="3"/>
  </si>
  <si>
    <t>うち令和７年度中の中途退学・転学者</t>
    <rPh sb="14" eb="15">
      <t>テン</t>
    </rPh>
    <rPh sb="15" eb="17">
      <t>ガクシャ</t>
    </rPh>
    <phoneticPr fontId="3"/>
  </si>
  <si>
    <t>学業不振・学校不適応</t>
  </si>
  <si>
    <t>病気・けが・死亡等</t>
  </si>
  <si>
    <t>保護者の転居等</t>
  </si>
  <si>
    <t>その他理由・不明</t>
    <rPh sb="6" eb="8">
      <t>フメイ</t>
    </rPh>
    <phoneticPr fontId="3"/>
  </si>
  <si>
    <t>計
（A）</t>
    <phoneticPr fontId="3"/>
  </si>
  <si>
    <r>
      <rPr>
        <b/>
        <sz val="11"/>
        <color rgb="FFFF0000"/>
        <rFont val="ＭＳ Ｐゴシック"/>
        <family val="3"/>
        <charset val="128"/>
      </rPr>
      <t>令和８年</t>
    </r>
    <r>
      <rPr>
        <b/>
        <sz val="11"/>
        <rFont val="ＭＳ Ｐゴシック"/>
        <family val="3"/>
        <charset val="128"/>
      </rPr>
      <t>３月
卒業者数</t>
    </r>
    <rPh sb="5" eb="6">
      <t>ガツ</t>
    </rPh>
    <rPh sb="7" eb="8">
      <t>ソツ</t>
    </rPh>
    <rPh sb="8" eb="11">
      <t>ギョウシャスウ</t>
    </rPh>
    <rPh sb="10" eb="11">
      <t>スウ</t>
    </rPh>
    <phoneticPr fontId="3"/>
  </si>
  <si>
    <t>うち併設・系列の
大学・短大への
進学者数</t>
    <rPh sb="2" eb="4">
      <t>ヘイセツ</t>
    </rPh>
    <rPh sb="5" eb="7">
      <t>ケイレツ</t>
    </rPh>
    <rPh sb="9" eb="11">
      <t>ダイガク</t>
    </rPh>
    <rPh sb="12" eb="14">
      <t>タンダイ</t>
    </rPh>
    <rPh sb="17" eb="20">
      <t>シンガクシャ</t>
    </rPh>
    <rPh sb="20" eb="21">
      <t>スウ</t>
    </rPh>
    <phoneticPr fontId="3"/>
  </si>
  <si>
    <t>中高共用建物については、高等学校の別表に回答ください。</t>
    <rPh sb="0" eb="4">
      <t>チュウコウキョウヨウ</t>
    </rPh>
    <rPh sb="4" eb="6">
      <t>タテモノ</t>
    </rPh>
    <rPh sb="12" eb="16">
      <t>コウトウガッコウ</t>
    </rPh>
    <rPh sb="17" eb="19">
      <t>ベッピョウ</t>
    </rPh>
    <rPh sb="20" eb="22">
      <t>カイトウ</t>
    </rPh>
    <phoneticPr fontId="15"/>
  </si>
  <si>
    <r>
      <t>３．</t>
    </r>
    <r>
      <rPr>
        <b/>
        <sz val="11"/>
        <color rgb="FFFF0000"/>
        <rFont val="ＭＳ Ｐゴシック"/>
        <family val="3"/>
        <charset val="128"/>
      </rPr>
      <t>令和８年度</t>
    </r>
    <r>
      <rPr>
        <b/>
        <sz val="11"/>
        <rFont val="ＭＳ Ｐゴシック"/>
        <family val="3"/>
        <charset val="128"/>
      </rPr>
      <t>の学校建物耐震化等の状況について</t>
    </r>
    <rPh sb="12" eb="15">
      <t>タイシンカ</t>
    </rPh>
    <rPh sb="15" eb="16">
      <t>トウ</t>
    </rPh>
    <rPh sb="17" eb="19">
      <t>ジョウキョウ</t>
    </rPh>
    <phoneticPr fontId="15"/>
  </si>
  <si>
    <t xml:space="preserve">以下(1)で、学校保有建物の耐震化等の状況（現時点）としてあてはまる選択肢番号を記入ください。
なお、(1)で「2. 一部未実施の建物がある」、および「3. 未実施」を回答された場合には「(2)耐震化未実施の建物に対する耐震化予定」としてあてはまる選択肢番号を記入ください。
また(2)で「1.全て実施する予定」以外を回答された場合には「(3)耐震化未定の理由」として、あてはまるものに「○」を付けてください。
</t>
    <rPh sb="0" eb="2">
      <t>イカ</t>
    </rPh>
    <rPh sb="7" eb="11">
      <t>ガッコウホユウ</t>
    </rPh>
    <rPh sb="11" eb="13">
      <t>タテモノ</t>
    </rPh>
    <rPh sb="14" eb="17">
      <t>タイシンカ</t>
    </rPh>
    <rPh sb="17" eb="18">
      <t>トウ</t>
    </rPh>
    <rPh sb="19" eb="21">
      <t>ジョウキョウ</t>
    </rPh>
    <rPh sb="22" eb="25">
      <t>ゲンジテン</t>
    </rPh>
    <rPh sb="34" eb="37">
      <t>センタクシ</t>
    </rPh>
    <rPh sb="37" eb="39">
      <t>バンゴウ</t>
    </rPh>
    <rPh sb="40" eb="42">
      <t>キニュウ</t>
    </rPh>
    <rPh sb="59" eb="61">
      <t>イチブ</t>
    </rPh>
    <rPh sb="61" eb="64">
      <t>ミジッシ</t>
    </rPh>
    <rPh sb="65" eb="67">
      <t>タテモノ</t>
    </rPh>
    <rPh sb="79" eb="82">
      <t>ミジッシ</t>
    </rPh>
    <rPh sb="97" eb="100">
      <t>タイシンカ</t>
    </rPh>
    <rPh sb="124" eb="129">
      <t>センタクシバンゴウ</t>
    </rPh>
    <rPh sb="130" eb="132">
      <t>キニュウ</t>
    </rPh>
    <rPh sb="197" eb="198">
      <t>ツ</t>
    </rPh>
    <phoneticPr fontId="15"/>
  </si>
  <si>
    <r>
      <t>(1)現時点での耐震化状況（</t>
    </r>
    <r>
      <rPr>
        <b/>
        <sz val="10"/>
        <color rgb="FFFF0000"/>
        <rFont val="ＭＳ Ｐゴシック"/>
        <family val="3"/>
        <charset val="128"/>
      </rPr>
      <t>R8</t>
    </r>
    <r>
      <rPr>
        <b/>
        <sz val="10"/>
        <rFont val="ＭＳ Ｐゴシック"/>
        <family val="3"/>
        <charset val="128"/>
      </rPr>
      <t>.5.1時点）</t>
    </r>
    <rPh sb="3" eb="6">
      <t>ゲンジテン</t>
    </rPh>
    <rPh sb="8" eb="11">
      <t>タイシンカ</t>
    </rPh>
    <rPh sb="11" eb="13">
      <t>ジョウキョウ</t>
    </rPh>
    <rPh sb="20" eb="22">
      <t>ジテン</t>
    </rPh>
    <phoneticPr fontId="15"/>
  </si>
  <si>
    <r>
      <t>1.　完了済</t>
    </r>
    <r>
      <rPr>
        <sz val="9"/>
        <color theme="1"/>
        <rFont val="ＭＳ Ｐゴシック"/>
        <family val="3"/>
        <charset val="128"/>
      </rPr>
      <t>（全ての建物に耐震性がある）</t>
    </r>
    <rPh sb="3" eb="5">
      <t>カンリョウ</t>
    </rPh>
    <rPh sb="5" eb="6">
      <t>スミ</t>
    </rPh>
    <rPh sb="7" eb="8">
      <t>スベ</t>
    </rPh>
    <rPh sb="10" eb="12">
      <t>タテモノ</t>
    </rPh>
    <rPh sb="13" eb="16">
      <t>タイシンセイ</t>
    </rPh>
    <phoneticPr fontId="15"/>
  </si>
  <si>
    <t>(注)</t>
    <phoneticPr fontId="15"/>
  </si>
  <si>
    <t>1981年6月以降に建築確認された建物は、新耐震基準が適用されるため、全て耐震性のある建物になります。1981年5月以前に建築確認された建物のうち、「耐震検査等で耐震性を未確認」または「（必要な）耐震工事を未実施」の建物は耐震化未実施として回答してください。</t>
    <rPh sb="4" eb="5">
      <t>ネン</t>
    </rPh>
    <rPh sb="6" eb="7">
      <t>ガツ</t>
    </rPh>
    <rPh sb="7" eb="9">
      <t>イコウ</t>
    </rPh>
    <rPh sb="10" eb="12">
      <t>ケンチク</t>
    </rPh>
    <rPh sb="12" eb="14">
      <t>カクニン</t>
    </rPh>
    <rPh sb="17" eb="19">
      <t>タテモノ</t>
    </rPh>
    <rPh sb="21" eb="22">
      <t>シン</t>
    </rPh>
    <rPh sb="22" eb="24">
      <t>タイシン</t>
    </rPh>
    <rPh sb="24" eb="26">
      <t>キジュン</t>
    </rPh>
    <rPh sb="27" eb="29">
      <t>テキヨウ</t>
    </rPh>
    <rPh sb="35" eb="36">
      <t>スベ</t>
    </rPh>
    <rPh sb="37" eb="40">
      <t>タイシンセイ</t>
    </rPh>
    <rPh sb="43" eb="45">
      <t>タテモノ</t>
    </rPh>
    <rPh sb="55" eb="56">
      <t>ネン</t>
    </rPh>
    <rPh sb="57" eb="58">
      <t>ガツ</t>
    </rPh>
    <rPh sb="58" eb="60">
      <t>イゼン</t>
    </rPh>
    <rPh sb="61" eb="65">
      <t>ケンチクカクニン</t>
    </rPh>
    <rPh sb="68" eb="70">
      <t>タテモノ</t>
    </rPh>
    <rPh sb="75" eb="79">
      <t>タイシンケンサ</t>
    </rPh>
    <rPh sb="79" eb="80">
      <t>トウ</t>
    </rPh>
    <rPh sb="81" eb="84">
      <t>タイシンセイ</t>
    </rPh>
    <rPh sb="85" eb="88">
      <t>ミカクニン</t>
    </rPh>
    <rPh sb="94" eb="96">
      <t>ヒツヨウ</t>
    </rPh>
    <rPh sb="98" eb="100">
      <t>タイシン</t>
    </rPh>
    <rPh sb="100" eb="102">
      <t>コウジ</t>
    </rPh>
    <rPh sb="103" eb="106">
      <t>ミジッシ</t>
    </rPh>
    <rPh sb="108" eb="110">
      <t>タテモノ</t>
    </rPh>
    <rPh sb="111" eb="114">
      <t>タイシンカ</t>
    </rPh>
    <rPh sb="114" eb="117">
      <t>ミジッシ</t>
    </rPh>
    <rPh sb="120" eb="122">
      <t>カイトウ</t>
    </rPh>
    <phoneticPr fontId="15"/>
  </si>
  <si>
    <t>2.　一部未実施の建物がある</t>
    <rPh sb="3" eb="5">
      <t>イチブ</t>
    </rPh>
    <rPh sb="5" eb="8">
      <t>ミジッシ</t>
    </rPh>
    <rPh sb="9" eb="11">
      <t>タテモノ</t>
    </rPh>
    <phoneticPr fontId="15"/>
  </si>
  <si>
    <t>3.　未実施</t>
    <rPh sb="3" eb="6">
      <t>ミジッシ</t>
    </rPh>
    <phoneticPr fontId="15"/>
  </si>
  <si>
    <t>(2)耐震化未実施の建物に対する耐震化予定</t>
    <rPh sb="3" eb="6">
      <t>タイシンカ</t>
    </rPh>
    <rPh sb="6" eb="9">
      <t>ミジッシ</t>
    </rPh>
    <rPh sb="10" eb="12">
      <t>タテモノ</t>
    </rPh>
    <rPh sb="13" eb="14">
      <t>タイ</t>
    </rPh>
    <rPh sb="16" eb="19">
      <t>タイシンカ</t>
    </rPh>
    <rPh sb="19" eb="21">
      <t>ヨテイ</t>
    </rPh>
    <phoneticPr fontId="15"/>
  </si>
  <si>
    <t>(3)耐震化未定の理由　（複数選択可）</t>
    <rPh sb="3" eb="6">
      <t>タイシンカ</t>
    </rPh>
    <rPh sb="6" eb="8">
      <t>ミテイ</t>
    </rPh>
    <rPh sb="9" eb="11">
      <t>リユウ</t>
    </rPh>
    <phoneticPr fontId="15"/>
  </si>
  <si>
    <t>1.　全て実施する予定</t>
    <rPh sb="3" eb="4">
      <t>スベ</t>
    </rPh>
    <rPh sb="5" eb="7">
      <t>ジッシ</t>
    </rPh>
    <rPh sb="9" eb="11">
      <t>ヨテイ</t>
    </rPh>
    <phoneticPr fontId="15"/>
  </si>
  <si>
    <t>財源が確保できない</t>
    <rPh sb="0" eb="2">
      <t>ザイゲン</t>
    </rPh>
    <rPh sb="3" eb="5">
      <t>カクホ</t>
    </rPh>
    <phoneticPr fontId="15"/>
  </si>
  <si>
    <t>2.　一部実施する予定</t>
    <rPh sb="3" eb="5">
      <t>イチブ</t>
    </rPh>
    <rPh sb="5" eb="7">
      <t>ジッシ</t>
    </rPh>
    <rPh sb="9" eb="11">
      <t>ヨテイ</t>
    </rPh>
    <phoneticPr fontId="15"/>
  </si>
  <si>
    <t>仮設や建替えの用地が確保できない</t>
    <rPh sb="0" eb="2">
      <t>カセツ</t>
    </rPh>
    <rPh sb="3" eb="5">
      <t>タテカ</t>
    </rPh>
    <rPh sb="7" eb="9">
      <t>ヨウチ</t>
    </rPh>
    <rPh sb="10" eb="12">
      <t>カクホ</t>
    </rPh>
    <phoneticPr fontId="15"/>
  </si>
  <si>
    <t>3.　検討中</t>
    <rPh sb="3" eb="6">
      <t>ケントウチュウ</t>
    </rPh>
    <phoneticPr fontId="15"/>
  </si>
  <si>
    <t>建物を使用しない、または取り壊しの予定がある</t>
    <rPh sb="12" eb="13">
      <t>ト</t>
    </rPh>
    <rPh sb="14" eb="15">
      <t>コワ</t>
    </rPh>
    <rPh sb="17" eb="19">
      <t>ヨテイ</t>
    </rPh>
    <phoneticPr fontId="15"/>
  </si>
  <si>
    <t>4.　実施予定なし</t>
    <phoneticPr fontId="15"/>
  </si>
  <si>
    <r>
      <t>その他　</t>
    </r>
    <r>
      <rPr>
        <sz val="8"/>
        <color theme="1"/>
        <rFont val="ＭＳ Ｐゴシック"/>
        <family val="3"/>
        <charset val="128"/>
      </rPr>
      <t>以下欄内に記載ください</t>
    </r>
    <rPh sb="2" eb="3">
      <t>ホカ</t>
    </rPh>
    <rPh sb="4" eb="6">
      <t>イカ</t>
    </rPh>
    <rPh sb="6" eb="8">
      <t>ランナイ</t>
    </rPh>
    <rPh sb="9" eb="11">
      <t>キサイ</t>
    </rPh>
    <phoneticPr fontId="15"/>
  </si>
  <si>
    <t>都道府
県名</t>
    <rPh sb="0" eb="2">
      <t>トドウ</t>
    </rPh>
    <rPh sb="2" eb="3">
      <t>フ</t>
    </rPh>
    <rPh sb="4" eb="5">
      <t>ケン</t>
    </rPh>
    <rPh sb="5" eb="6">
      <t>メイ</t>
    </rPh>
    <phoneticPr fontId="5"/>
  </si>
  <si>
    <t>高等学校名・通信制</t>
    <rPh sb="0" eb="4">
      <t>コウトウガッコウ</t>
    </rPh>
    <rPh sb="4" eb="5">
      <t>メイ</t>
    </rPh>
    <rPh sb="6" eb="8">
      <t>ツウシン</t>
    </rPh>
    <rPh sb="8" eb="9">
      <t>セイ</t>
    </rPh>
    <phoneticPr fontId="5"/>
  </si>
  <si>
    <t>Key</t>
  </si>
  <si>
    <t>コード
番号9</t>
    <rPh sb="4" eb="6">
      <t>バンゴウ</t>
    </rPh>
    <phoneticPr fontId="5"/>
  </si>
  <si>
    <t>チェック</t>
    <phoneticPr fontId="5"/>
  </si>
  <si>
    <t>設置課程</t>
    <rPh sb="0" eb="4">
      <t>セッチカテイ</t>
    </rPh>
    <phoneticPr fontId="5"/>
  </si>
  <si>
    <t>北海道札幌静修高等学校</t>
  </si>
  <si>
    <t>有</t>
  </si>
  <si>
    <t>全/通信制</t>
  </si>
  <si>
    <t>北海道小樽双葉高等学校</t>
  </si>
  <si>
    <t>北海道大谷室蘭高等学校</t>
  </si>
  <si>
    <t>北海道北海道大谷室蘭高等学校</t>
  </si>
  <si>
    <t>北海道酪農学園大学附属とわの森三愛高等学校</t>
  </si>
  <si>
    <t>北海道クラーク記念国際高等学校</t>
  </si>
  <si>
    <t>通信制</t>
    <rPh sb="0" eb="3">
      <t>ツウシンセイ</t>
    </rPh>
    <phoneticPr fontId="5"/>
  </si>
  <si>
    <t>北海道池上学院高等学校</t>
  </si>
  <si>
    <t>星槎国際高等学校</t>
  </si>
  <si>
    <t>北海道星槎国際高等学校</t>
  </si>
  <si>
    <t>無</t>
  </si>
  <si>
    <t>北海道芸術高等学校</t>
    <rPh sb="0" eb="3">
      <t>ホッカイドウ</t>
    </rPh>
    <rPh sb="3" eb="5">
      <t>ゲイジュツ</t>
    </rPh>
    <rPh sb="5" eb="7">
      <t>コウトウ</t>
    </rPh>
    <rPh sb="7" eb="9">
      <t>ガッコウ</t>
    </rPh>
    <phoneticPr fontId="6"/>
  </si>
  <si>
    <t>北海道北海道芸術高等学校</t>
  </si>
  <si>
    <t>北海道教育学園三和高等学校</t>
  </si>
  <si>
    <t>北海道北海道教育学園三和高等学校</t>
  </si>
  <si>
    <t>全/通/専</t>
  </si>
  <si>
    <t>八戸学院光星高等学校</t>
  </si>
  <si>
    <t>青森県八戸学院光星高等学校</t>
  </si>
  <si>
    <t>青森県八戸工業大学第二高等学校</t>
  </si>
  <si>
    <t>青森県五所川原第一高等学校</t>
  </si>
  <si>
    <t>岩手県一関学院高等学校</t>
  </si>
  <si>
    <t>専修大学北上高等学校</t>
  </si>
  <si>
    <t>岩手県専修大学北上高等学校</t>
  </si>
  <si>
    <t>富山県</t>
  </si>
  <si>
    <t>岩手県盛岡中央高等学校</t>
  </si>
  <si>
    <t>宮城県仙台白百合学園高等学校</t>
  </si>
  <si>
    <t>東北生活文化大学高等学校</t>
  </si>
  <si>
    <t>宮城県東北生活文化大学高等学校</t>
  </si>
  <si>
    <t>宮城県仙台育英学園高等学校</t>
  </si>
  <si>
    <t>宮城県東陵高等学校</t>
  </si>
  <si>
    <t>飛鳥未来きずな高等学校</t>
    <rPh sb="0" eb="2">
      <t>アスカ</t>
    </rPh>
    <rPh sb="2" eb="4">
      <t>ミライ</t>
    </rPh>
    <rPh sb="7" eb="9">
      <t>コウトウ</t>
    </rPh>
    <rPh sb="9" eb="11">
      <t>ガッコウ</t>
    </rPh>
    <phoneticPr fontId="6"/>
  </si>
  <si>
    <t>宮城県飛鳥未来きずな高等学校</t>
  </si>
  <si>
    <t>クラークNEXT高等学校</t>
  </si>
  <si>
    <t>宮城県クラークNEXT高等学校</t>
  </si>
  <si>
    <t>ノースアジア大学明桜高等学校</t>
  </si>
  <si>
    <t>秋田県ノースアジア大学明桜高等学校</t>
  </si>
  <si>
    <t>秋田県秋田修英高等学校</t>
  </si>
  <si>
    <t>山形県惺山高等学校</t>
  </si>
  <si>
    <t>羽黒高等学校</t>
  </si>
  <si>
    <t>山形県羽黒高等学校</t>
  </si>
  <si>
    <t>山形県和順館高等学校</t>
  </si>
  <si>
    <t>桜の聖母学院高等学校</t>
  </si>
  <si>
    <t>福島県桜の聖母学院高等学校</t>
  </si>
  <si>
    <t>福島県尚志高等学校</t>
  </si>
  <si>
    <t>福島県東日本国際大学附属昌平高等学校</t>
  </si>
  <si>
    <t>新潟青陵高等学校</t>
  </si>
  <si>
    <t>新潟県新潟青陵高等学校</t>
  </si>
  <si>
    <t>新潟県新潟産業大学附属高等学校</t>
  </si>
  <si>
    <t>新潟県開志学園高等学校</t>
  </si>
  <si>
    <t>徳島県</t>
  </si>
  <si>
    <t>創進学園高等学校</t>
    <rPh sb="0" eb="1">
      <t>ソウ</t>
    </rPh>
    <rPh sb="1" eb="2">
      <t>シン</t>
    </rPh>
    <rPh sb="2" eb="4">
      <t>ガクエン</t>
    </rPh>
    <rPh sb="4" eb="6">
      <t>コウトウ</t>
    </rPh>
    <rPh sb="6" eb="8">
      <t>ガッコウ</t>
    </rPh>
    <phoneticPr fontId="6"/>
  </si>
  <si>
    <t>新潟県創進学園高等学校</t>
  </si>
  <si>
    <t>新潟英智高等学校</t>
    <rPh sb="0" eb="2">
      <t>ニイガタ</t>
    </rPh>
    <phoneticPr fontId="6"/>
  </si>
  <si>
    <t>新潟県新潟英智高等学校</t>
  </si>
  <si>
    <t>開志創造高等学校</t>
  </si>
  <si>
    <t>新潟県開志創造高等学校</t>
  </si>
  <si>
    <t>茨城県土浦日本大学高等学校</t>
  </si>
  <si>
    <t>茨城県明秀学園日立高等学校</t>
  </si>
  <si>
    <t>茨城県鹿島学園高等学校</t>
  </si>
  <si>
    <t>茨城県翔洋学園高等学校</t>
  </si>
  <si>
    <t>茨城県つくば開成高等学校</t>
  </si>
  <si>
    <t>茨城県晃陽学園高等学校</t>
  </si>
  <si>
    <t>茨城県水戸平成学園高等学校</t>
  </si>
  <si>
    <t>EIKOデジタル・クリエイティブ高等学校</t>
    <rPh sb="16" eb="20">
      <t>コウトウガッコウ</t>
    </rPh>
    <phoneticPr fontId="6"/>
  </si>
  <si>
    <t>茨城県EIKOデジタル・クリエイティブ高等学校</t>
  </si>
  <si>
    <t>わせがくPURE高等学校</t>
  </si>
  <si>
    <t>茨城県わせがくPURE高等学校</t>
  </si>
  <si>
    <t>Ｓ高等学校</t>
    <rPh sb="1" eb="3">
      <t>コウトウ</t>
    </rPh>
    <rPh sb="3" eb="5">
      <t>ガッコウ</t>
    </rPh>
    <phoneticPr fontId="6"/>
  </si>
  <si>
    <t>茨城県Ｓ高等学校</t>
  </si>
  <si>
    <t>日本ウェルネス高等学校</t>
    <rPh sb="0" eb="2">
      <t>ニホン</t>
    </rPh>
    <rPh sb="7" eb="11">
      <t>コウトウガッコウ</t>
    </rPh>
    <phoneticPr fontId="6"/>
  </si>
  <si>
    <t>茨城県日本ウェルネス高等学校</t>
  </si>
  <si>
    <t>飛鳥未来きぼう高等学校</t>
  </si>
  <si>
    <t>茨城県飛鳥未来きぼう高等学校</t>
  </si>
  <si>
    <t>四谷学院高等学校</t>
    <rPh sb="0" eb="4">
      <t>ヨツヤガクイン</t>
    </rPh>
    <rPh sb="4" eb="8">
      <t>コ</t>
    </rPh>
    <phoneticPr fontId="6"/>
  </si>
  <si>
    <t>茨城県四谷学院高等学校</t>
  </si>
  <si>
    <t>日々輝学園高等学校</t>
    <rPh sb="0" eb="3">
      <t>ヒビキ</t>
    </rPh>
    <rPh sb="3" eb="5">
      <t>ガクエン</t>
    </rPh>
    <rPh sb="5" eb="7">
      <t>コウトウ</t>
    </rPh>
    <rPh sb="7" eb="9">
      <t>ガッコウ</t>
    </rPh>
    <phoneticPr fontId="6"/>
  </si>
  <si>
    <t>栃木県日々輝学園高等学校</t>
  </si>
  <si>
    <t>R高等学校</t>
    <rPh sb="1" eb="5">
      <t>コウトウガッコウ</t>
    </rPh>
    <phoneticPr fontId="6"/>
  </si>
  <si>
    <t>群馬県R高等学校</t>
  </si>
  <si>
    <t>埼玉県聖望学園高等学校</t>
  </si>
  <si>
    <t>本庄第一高等学校</t>
  </si>
  <si>
    <t>埼玉県本庄第一高等学校</t>
  </si>
  <si>
    <t>埼玉県開智高等学校</t>
  </si>
  <si>
    <t>埼玉県国際学院高等学校</t>
  </si>
  <si>
    <t>埼玉県武蔵野星城高等学校</t>
  </si>
  <si>
    <t>埼玉県大川学園高等学校</t>
  </si>
  <si>
    <t>埼玉県志学会高等学校</t>
  </si>
  <si>
    <t>わせがく夢育高等学校</t>
    <rPh sb="4" eb="6">
      <t>ユメイク</t>
    </rPh>
    <rPh sb="6" eb="10">
      <t>コウトウガッコウ</t>
    </rPh>
    <phoneticPr fontId="6"/>
  </si>
  <si>
    <t>埼玉県わせがく夢育高等学校</t>
  </si>
  <si>
    <t>埼玉県霞ヶ関高等学校</t>
  </si>
  <si>
    <t>埼玉県松栄学園高等学校</t>
  </si>
  <si>
    <t>埼玉県松栄学園高等学校大宮分校</t>
  </si>
  <si>
    <t>松栄学園高等学校越谷レイクタウン分校</t>
  </si>
  <si>
    <t>埼玉県松栄学園高等学校越谷レイクタウン分校</t>
  </si>
  <si>
    <t>埼玉県清和学園高等学校</t>
  </si>
  <si>
    <t>千葉県麗澤高等学校</t>
  </si>
  <si>
    <t>千葉県敬愛大学八日市場高等学校</t>
  </si>
  <si>
    <t>千葉県鴨川令徳高等学校</t>
  </si>
  <si>
    <t>千葉県明聖高等学校</t>
  </si>
  <si>
    <t>千葉県わせがく高等学校</t>
  </si>
  <si>
    <t>千葉県中山学園高等学校</t>
  </si>
  <si>
    <t>千葉県あずさ第一高等学校</t>
  </si>
  <si>
    <t>中央国際高等学校</t>
    <rPh sb="0" eb="2">
      <t>チュウオウ</t>
    </rPh>
    <rPh sb="2" eb="4">
      <t>コクサイ</t>
    </rPh>
    <rPh sb="4" eb="6">
      <t>コウトウ</t>
    </rPh>
    <rPh sb="6" eb="8">
      <t>ガッコウ</t>
    </rPh>
    <phoneticPr fontId="6"/>
  </si>
  <si>
    <t>千葉県中央国際高等学校</t>
  </si>
  <si>
    <t>ヒューマンキャンパスのぞみ高等学校</t>
    <rPh sb="13" eb="17">
      <t>コウトウガッコウ</t>
    </rPh>
    <phoneticPr fontId="6"/>
  </si>
  <si>
    <t>千葉県ヒューマンキャンパスのぞみ高等学校</t>
  </si>
  <si>
    <t>千葉科学大学附属高等学校</t>
  </si>
  <si>
    <t>千葉県千葉科学大学附属高等学校</t>
  </si>
  <si>
    <t>神奈川県清心女子高等学校</t>
  </si>
  <si>
    <t>神奈川県秀英高等学校</t>
  </si>
  <si>
    <t>神奈川県厚木中央高等学校</t>
  </si>
  <si>
    <t>神奈川県星槎高等学校</t>
  </si>
  <si>
    <t>大原学園美空高等学校</t>
    <rPh sb="4" eb="6">
      <t>ミソラ</t>
    </rPh>
    <phoneticPr fontId="6"/>
  </si>
  <si>
    <t>東京都大原学園美空高等学校</t>
  </si>
  <si>
    <t>東京都東海大学付属望星高等学校</t>
  </si>
  <si>
    <t>東京都北豊島高等学校</t>
  </si>
  <si>
    <t>東京都立志舎高等学校</t>
  </si>
  <si>
    <t>東京都目黒日本大学高等学校</t>
  </si>
  <si>
    <t>東京都科学技術学園高等学校</t>
  </si>
  <si>
    <t>東京都聖パウロ学園高等学校</t>
  </si>
  <si>
    <t>東京都ＮＨＫ学園高等学校</t>
  </si>
  <si>
    <t>高岡龍谷高等学校</t>
  </si>
  <si>
    <t>富山県高岡龍谷高等学校</t>
  </si>
  <si>
    <t>福井県啓新高等学校</t>
  </si>
  <si>
    <t>AOIKE高等学校</t>
    <rPh sb="5" eb="7">
      <t>コウトウ</t>
    </rPh>
    <rPh sb="7" eb="9">
      <t>ガッコウ</t>
    </rPh>
    <phoneticPr fontId="6"/>
  </si>
  <si>
    <t>福井県AOIKE高等学校</t>
  </si>
  <si>
    <t>山梨県甲斐清和（せいか）高等学校</t>
  </si>
  <si>
    <t>山梨県山梨英和高等学校</t>
  </si>
  <si>
    <t>山梨県山梨学院高等学校</t>
  </si>
  <si>
    <t>山梨県駿台甲府高等学校</t>
  </si>
  <si>
    <t>山梨県日本航空高等学校</t>
  </si>
  <si>
    <t>帝京第三高等学校</t>
  </si>
  <si>
    <t>山梨県帝京第三高等学校</t>
  </si>
  <si>
    <t>長野県長野日本大学高等学校</t>
  </si>
  <si>
    <t>長野県松本国際高等学校</t>
  </si>
  <si>
    <t>松商学園高等学校</t>
  </si>
  <si>
    <t>長野県松商学園高等学校</t>
  </si>
  <si>
    <t>長野県長野俊英高等学校</t>
  </si>
  <si>
    <t>長野県飯田女子高等学校</t>
  </si>
  <si>
    <t>長野県地球環境高等学校</t>
  </si>
  <si>
    <t>長野県信濃むつみ高等学校</t>
  </si>
  <si>
    <t>コードアカデミー高等学校</t>
    <rPh sb="8" eb="10">
      <t>コウトウ</t>
    </rPh>
    <rPh sb="10" eb="12">
      <t>ガッコウ</t>
    </rPh>
    <phoneticPr fontId="6"/>
  </si>
  <si>
    <t>長野県コードアカデミー高等学校</t>
  </si>
  <si>
    <t>さくら国際高等学校</t>
    <rPh sb="3" eb="5">
      <t>コクサイ</t>
    </rPh>
    <rPh sb="5" eb="7">
      <t>コウトウ</t>
    </rPh>
    <rPh sb="7" eb="9">
      <t>ガッコウ</t>
    </rPh>
    <phoneticPr fontId="6"/>
  </si>
  <si>
    <t>長野県さくら国際高等学校</t>
  </si>
  <si>
    <t>つくば開成学園高等学校</t>
    <rPh sb="3" eb="5">
      <t>カイセイ</t>
    </rPh>
    <rPh sb="5" eb="7">
      <t>ガクエン</t>
    </rPh>
    <rPh sb="7" eb="9">
      <t>コウトウ</t>
    </rPh>
    <rPh sb="9" eb="11">
      <t>ガッコウ</t>
    </rPh>
    <phoneticPr fontId="6"/>
  </si>
  <si>
    <t>長野県つくば開成学園高等学校</t>
  </si>
  <si>
    <t>ＩＤ学園高等学校</t>
    <rPh sb="2" eb="4">
      <t>ガクエン</t>
    </rPh>
    <rPh sb="4" eb="6">
      <t>コウトウ</t>
    </rPh>
    <rPh sb="6" eb="8">
      <t>ガッコウ</t>
    </rPh>
    <phoneticPr fontId="6"/>
  </si>
  <si>
    <t>長野県ＩＤ学園高等学校</t>
  </si>
  <si>
    <t>緑誠蘭高等学校</t>
    <rPh sb="0" eb="1">
      <t>ミドリ</t>
    </rPh>
    <rPh sb="1" eb="2">
      <t>マコト</t>
    </rPh>
    <rPh sb="2" eb="3">
      <t>ラン</t>
    </rPh>
    <rPh sb="3" eb="5">
      <t>コウトウ</t>
    </rPh>
    <rPh sb="5" eb="7">
      <t>ガッコウ</t>
    </rPh>
    <phoneticPr fontId="6"/>
  </si>
  <si>
    <t>長野県緑誠蘭高等学校</t>
  </si>
  <si>
    <t>天龍興譲高等学校</t>
  </si>
  <si>
    <t>長野県天龍興譲高等学校</t>
  </si>
  <si>
    <t>長野県ステップ高等学校</t>
  </si>
  <si>
    <t>岐阜県中京高等学校</t>
  </si>
  <si>
    <t>岐阜県城南高等学校</t>
  </si>
  <si>
    <t>岐阜県ぎふ国際高等学校</t>
  </si>
  <si>
    <t>清凌高等学校</t>
    <rPh sb="0" eb="1">
      <t>セイ</t>
    </rPh>
    <rPh sb="1" eb="2">
      <t>タカシ</t>
    </rPh>
    <rPh sb="2" eb="4">
      <t>コウトウ</t>
    </rPh>
    <rPh sb="4" eb="6">
      <t>ガッコウ</t>
    </rPh>
    <phoneticPr fontId="2"/>
  </si>
  <si>
    <t>岐阜県清凌高等学校</t>
  </si>
  <si>
    <t>啓晴高等学校</t>
    <rPh sb="0" eb="2">
      <t>ケイセイ</t>
    </rPh>
    <rPh sb="2" eb="4">
      <t>コウトウ</t>
    </rPh>
    <rPh sb="4" eb="6">
      <t>ガッコウ</t>
    </rPh>
    <phoneticPr fontId="2"/>
  </si>
  <si>
    <t>岐阜県啓晴高等学校</t>
  </si>
  <si>
    <t>西濃桃李高等学校</t>
    <rPh sb="0" eb="2">
      <t>セイノウ</t>
    </rPh>
    <rPh sb="2" eb="4">
      <t>トウリ</t>
    </rPh>
    <rPh sb="4" eb="6">
      <t>コウトウ</t>
    </rPh>
    <rPh sb="6" eb="8">
      <t>ガッコウ</t>
    </rPh>
    <phoneticPr fontId="2"/>
  </si>
  <si>
    <t>岐阜県西濃桃李高等学校</t>
  </si>
  <si>
    <t>静岡県沼津中央高等学校</t>
  </si>
  <si>
    <t>静岡県飛龍高等学校</t>
  </si>
  <si>
    <t>静岡雙葉高等学校</t>
  </si>
  <si>
    <t>静岡県静岡雙葉高等学校</t>
  </si>
  <si>
    <t>静清高等学校</t>
  </si>
  <si>
    <t>静岡県静清高等学校</t>
  </si>
  <si>
    <t>聖隷クリストファー高等学校</t>
  </si>
  <si>
    <t>静岡県聖隷クリストファー高等学校</t>
  </si>
  <si>
    <t>静岡県キラリ高等学校</t>
  </si>
  <si>
    <t>静岡学園なごみ高等学校</t>
  </si>
  <si>
    <t>静岡県静岡学園なごみ高等学校</t>
  </si>
  <si>
    <t>静岡泉洋高等学校</t>
  </si>
  <si>
    <t>静岡県静岡泉洋高等学校</t>
  </si>
  <si>
    <t>あおい開惺高等学校</t>
  </si>
  <si>
    <t>静岡県あおい開惺高等学校</t>
  </si>
  <si>
    <t>愛知県中京大学附属中京高等学校</t>
  </si>
  <si>
    <t>愛知県名古屋たちばな高等学校</t>
  </si>
  <si>
    <t>愛知県菊華高等学校</t>
  </si>
  <si>
    <t>愛知県愛知産業大学三河高等学校</t>
  </si>
  <si>
    <t>三重県四日市メリノール学院高等学校</t>
  </si>
  <si>
    <t>皇學館高等学校</t>
  </si>
  <si>
    <t>三重県皇學館高等学校</t>
  </si>
  <si>
    <t>三重県大橋学園高等学校</t>
  </si>
  <si>
    <t>三重県徳風高等学校</t>
  </si>
  <si>
    <t>三重県英心高等学校</t>
  </si>
  <si>
    <t>一志学園高等学校</t>
    <rPh sb="0" eb="1">
      <t>1</t>
    </rPh>
    <rPh sb="1" eb="2">
      <t>ココロザシ</t>
    </rPh>
    <rPh sb="2" eb="4">
      <t>ガクエン</t>
    </rPh>
    <rPh sb="4" eb="6">
      <t>コウトウ</t>
    </rPh>
    <rPh sb="6" eb="8">
      <t>ガッコウ</t>
    </rPh>
    <phoneticPr fontId="2"/>
  </si>
  <si>
    <t>三重県一志学園高等学校</t>
  </si>
  <si>
    <t>代々木高等学校</t>
    <rPh sb="0" eb="3">
      <t>ヨヨギ</t>
    </rPh>
    <rPh sb="3" eb="5">
      <t>コウトウ</t>
    </rPh>
    <rPh sb="5" eb="7">
      <t>ガッコウ</t>
    </rPh>
    <phoneticPr fontId="2"/>
  </si>
  <si>
    <t>三重県代々木高等学校</t>
  </si>
  <si>
    <t>神村学園高等部伊賀分校</t>
    <rPh sb="7" eb="11">
      <t>イガブンコウ</t>
    </rPh>
    <phoneticPr fontId="2"/>
  </si>
  <si>
    <t>三重県神村学園高等部伊賀分校</t>
  </si>
  <si>
    <t>みえ大台おおぞら高等学校</t>
  </si>
  <si>
    <t>三重県みえ大台おおぞら高等学校</t>
  </si>
  <si>
    <t>光泉カトリック高等学校</t>
  </si>
  <si>
    <t>滋賀県光泉カトリック高等学校</t>
  </si>
  <si>
    <t>滋賀県司学館高等学校</t>
  </si>
  <si>
    <t>滋賀県ECC学園高等学校</t>
  </si>
  <si>
    <t>京都光華高等学校</t>
  </si>
  <si>
    <t>京都府京都光華高等学校</t>
  </si>
  <si>
    <t>京都府京都西山高等学校</t>
  </si>
  <si>
    <t>京都府京都共栄学園高等学校</t>
  </si>
  <si>
    <t>京都府京都廣学館高等学校</t>
  </si>
  <si>
    <t>京都府京都成章高等学校</t>
  </si>
  <si>
    <t>京都府京都美山高等学校</t>
  </si>
  <si>
    <t>京都つくば開成高等学校</t>
    <rPh sb="0" eb="2">
      <t>キョウト</t>
    </rPh>
    <rPh sb="5" eb="7">
      <t>カイセイ</t>
    </rPh>
    <rPh sb="7" eb="9">
      <t>コウトウ</t>
    </rPh>
    <rPh sb="9" eb="11">
      <t>ガッコウ</t>
    </rPh>
    <phoneticPr fontId="2"/>
  </si>
  <si>
    <t>京都府京都つくば開成高等学校</t>
  </si>
  <si>
    <t>京都芸術大学附属高等学校</t>
    <rPh sb="0" eb="2">
      <t>キョウト</t>
    </rPh>
    <rPh sb="2" eb="4">
      <t>ゲイジュツ</t>
    </rPh>
    <rPh sb="4" eb="6">
      <t>ダイガク</t>
    </rPh>
    <rPh sb="6" eb="8">
      <t>フゾク</t>
    </rPh>
    <rPh sb="8" eb="10">
      <t>コウトウ</t>
    </rPh>
    <rPh sb="10" eb="12">
      <t>ガッコウ</t>
    </rPh>
    <phoneticPr fontId="2"/>
  </si>
  <si>
    <t>京都府京都芸術大学附属高等学校</t>
  </si>
  <si>
    <t>京都長尾谷高等学校</t>
  </si>
  <si>
    <t>京都府京都長尾谷高等学校</t>
  </si>
  <si>
    <t>京都文教大学附属宇治高等学校</t>
  </si>
  <si>
    <t>京都府京都文教大学附属宇治高等学校</t>
  </si>
  <si>
    <t>大阪府秋桜高等学校</t>
  </si>
  <si>
    <t>大阪府賢明学院高等学校</t>
  </si>
  <si>
    <t>大阪府天王寺学館高等学校</t>
  </si>
  <si>
    <t>大阪府ＹＭＣＡ学院高等学校</t>
  </si>
  <si>
    <t>大阪府向陽台高等学校</t>
  </si>
  <si>
    <t>大阪府八洲学園高等学校</t>
  </si>
  <si>
    <t>大阪府長尾谷高等学校</t>
  </si>
  <si>
    <t>神須学園高等学校</t>
    <rPh sb="0" eb="1">
      <t>カミ</t>
    </rPh>
    <rPh sb="1" eb="2">
      <t>ス</t>
    </rPh>
    <rPh sb="2" eb="4">
      <t>ガクエン</t>
    </rPh>
    <rPh sb="4" eb="6">
      <t>コウトウ</t>
    </rPh>
    <rPh sb="6" eb="8">
      <t>ガッコウ</t>
    </rPh>
    <phoneticPr fontId="2"/>
  </si>
  <si>
    <t>大阪府神須学園高等学校</t>
  </si>
  <si>
    <t>英風高等学校</t>
    <rPh sb="0" eb="1">
      <t>エイ</t>
    </rPh>
    <rPh sb="1" eb="2">
      <t>フウ</t>
    </rPh>
    <rPh sb="2" eb="4">
      <t>コウトウ</t>
    </rPh>
    <rPh sb="4" eb="6">
      <t>ガッコウ</t>
    </rPh>
    <phoneticPr fontId="2"/>
  </si>
  <si>
    <t>大阪府英風高等学校</t>
  </si>
  <si>
    <t>大阪つくば開成高等学校</t>
    <rPh sb="0" eb="2">
      <t>オオサカ</t>
    </rPh>
    <rPh sb="5" eb="7">
      <t>カイセイ</t>
    </rPh>
    <rPh sb="7" eb="9">
      <t>コウトウ</t>
    </rPh>
    <rPh sb="9" eb="11">
      <t>ガッコウ</t>
    </rPh>
    <phoneticPr fontId="2"/>
  </si>
  <si>
    <t>大阪府大阪つくば開成高等学校</t>
  </si>
  <si>
    <t>東朋学園高等学校</t>
    <rPh sb="0" eb="1">
      <t>ヒガシ</t>
    </rPh>
    <rPh sb="1" eb="2">
      <t>ホウ</t>
    </rPh>
    <rPh sb="2" eb="4">
      <t>ガクエン</t>
    </rPh>
    <rPh sb="4" eb="6">
      <t>コウトウ</t>
    </rPh>
    <rPh sb="6" eb="8">
      <t>ガッコウ</t>
    </rPh>
    <phoneticPr fontId="2"/>
  </si>
  <si>
    <t>大阪府東朋学園高等学校</t>
  </si>
  <si>
    <t>近畿大阪高等学校</t>
    <rPh sb="0" eb="2">
      <t>キンキ</t>
    </rPh>
    <rPh sb="2" eb="4">
      <t>オオサカ</t>
    </rPh>
    <rPh sb="4" eb="8">
      <t>コウトウガッコウ</t>
    </rPh>
    <phoneticPr fontId="2"/>
  </si>
  <si>
    <t>大阪府近畿大阪高等学校</t>
  </si>
  <si>
    <t>甲英高等学校</t>
  </si>
  <si>
    <t>大阪府甲英高等学校</t>
  </si>
  <si>
    <t>小林聖心女子学院高等学校</t>
  </si>
  <si>
    <t>兵庫県小林聖心女子学院高等学校</t>
  </si>
  <si>
    <t>奈良県奈良女子高等学校</t>
  </si>
  <si>
    <t>奈良県飛鳥未来高等学校</t>
  </si>
  <si>
    <t>関西文化芸術高等学校</t>
    <rPh sb="0" eb="2">
      <t>カンサイ</t>
    </rPh>
    <rPh sb="2" eb="4">
      <t>ブンカ</t>
    </rPh>
    <rPh sb="4" eb="6">
      <t>ゲイジュツ</t>
    </rPh>
    <rPh sb="6" eb="8">
      <t>コウトウ</t>
    </rPh>
    <rPh sb="8" eb="10">
      <t>ガッコウ</t>
    </rPh>
    <phoneticPr fontId="2"/>
  </si>
  <si>
    <t>奈良県関西文化芸術高等学校</t>
  </si>
  <si>
    <t>日本教育学院高等学校</t>
    <rPh sb="0" eb="2">
      <t>ニホン</t>
    </rPh>
    <rPh sb="2" eb="4">
      <t>キョウイク</t>
    </rPh>
    <rPh sb="4" eb="6">
      <t>ガクイン</t>
    </rPh>
    <rPh sb="6" eb="8">
      <t>コウトウ</t>
    </rPh>
    <rPh sb="8" eb="10">
      <t>ガッコウ</t>
    </rPh>
    <phoneticPr fontId="2"/>
  </si>
  <si>
    <t>奈良県日本教育学院高等学校</t>
  </si>
  <si>
    <t>和歌山県和歌山信愛高等学校</t>
  </si>
  <si>
    <t>和歌山県高野山高等学校</t>
  </si>
  <si>
    <t>和歌山南陵高等学校【募集再開】</t>
  </si>
  <si>
    <t>和歌山県和歌山南陵高等学校【募集再開】</t>
  </si>
  <si>
    <t>和歌山県慶風高等学校</t>
  </si>
  <si>
    <t>鳥取県湯梨浜学園高等学校</t>
  </si>
  <si>
    <t>島根県明誠高等学校</t>
  </si>
  <si>
    <t>立正大学淞南高等学校</t>
  </si>
  <si>
    <t>島根県立正大学淞南高等学校</t>
  </si>
  <si>
    <t>岡山県岡山理科大学附属高等学校</t>
  </si>
  <si>
    <t>岡山学芸館高等学校</t>
  </si>
  <si>
    <t>岡山県岡山学芸館高等学校</t>
  </si>
  <si>
    <t>岡山龍谷高等学校</t>
  </si>
  <si>
    <t>岡山県岡山龍谷高等学校</t>
  </si>
  <si>
    <t>岡山県興譲館高等学校</t>
  </si>
  <si>
    <t>岡山県岡山県美作高等学校</t>
  </si>
  <si>
    <t>鹿島朝日高等学校</t>
    <rPh sb="0" eb="2">
      <t>カシマ</t>
    </rPh>
    <rPh sb="2" eb="4">
      <t>アサヒ</t>
    </rPh>
    <rPh sb="4" eb="6">
      <t>コウトウ</t>
    </rPh>
    <rPh sb="6" eb="8">
      <t>ガッコウ</t>
    </rPh>
    <phoneticPr fontId="2"/>
  </si>
  <si>
    <t>岡山県鹿島朝日高等学校</t>
  </si>
  <si>
    <t>滋慶学園高等学校</t>
    <rPh sb="0" eb="2">
      <t>ジケイ</t>
    </rPh>
    <rPh sb="2" eb="4">
      <t>ガクエン</t>
    </rPh>
    <rPh sb="4" eb="6">
      <t>コウトウ</t>
    </rPh>
    <rPh sb="6" eb="8">
      <t>ガッコウ</t>
    </rPh>
    <phoneticPr fontId="2"/>
  </si>
  <si>
    <t>岡山県滋慶学園高等学校</t>
  </si>
  <si>
    <t>ワオ高等学校</t>
    <rPh sb="2" eb="4">
      <t>コウトウ</t>
    </rPh>
    <rPh sb="4" eb="6">
      <t>ガッコウ</t>
    </rPh>
    <phoneticPr fontId="2"/>
  </si>
  <si>
    <t>岡山県ワオ高等学校</t>
  </si>
  <si>
    <t>広島県広島工業大学高等学校</t>
  </si>
  <si>
    <t>広島県広島新庄高等学校</t>
  </si>
  <si>
    <t>広島県広島国際学院高等学校</t>
  </si>
  <si>
    <t>広島県山陽女学園高等部</t>
  </si>
  <si>
    <t>広島県東林館高等学校</t>
  </si>
  <si>
    <t>東林館高等学校呉分校</t>
  </si>
  <si>
    <t>広島県東林館高等学校呉分校</t>
  </si>
  <si>
    <t>広島県並木学院高等学校</t>
  </si>
  <si>
    <t>広島県並木学院福山高等学校</t>
  </si>
  <si>
    <t>シンギュラリティ高等学校</t>
  </si>
  <si>
    <t>広島県シンギュラリティ高等学校</t>
  </si>
  <si>
    <t>山口県聖光高等学校</t>
  </si>
  <si>
    <t>山口県誠英高等学校</t>
  </si>
  <si>
    <t>山口県長門高等学校</t>
  </si>
  <si>
    <t>山口県成進高等学校</t>
  </si>
  <si>
    <t>山口県精華学園高等学校</t>
  </si>
  <si>
    <t>山口県松陰高等学校</t>
  </si>
  <si>
    <t>萩明倫館高等学校</t>
  </si>
  <si>
    <t>山口県萩明倫館高等学校</t>
  </si>
  <si>
    <t>みのり高等学校</t>
    <rPh sb="3" eb="7">
      <t>コウトウガッコウ</t>
    </rPh>
    <phoneticPr fontId="2"/>
  </si>
  <si>
    <t>徳島県みのり高等学校</t>
  </si>
  <si>
    <t>マーキュリー国際高等学校</t>
    <rPh sb="6" eb="8">
      <t>コクサイ</t>
    </rPh>
    <rPh sb="8" eb="12">
      <t>コウトウガッコウ</t>
    </rPh>
    <phoneticPr fontId="5"/>
  </si>
  <si>
    <t>徳島県マーキュリー国際高等学校</t>
  </si>
  <si>
    <t>英明高等学校</t>
  </si>
  <si>
    <t>香川県英明高等学校</t>
  </si>
  <si>
    <t>香川県高松中央高等学校</t>
  </si>
  <si>
    <t>村上学園高等学校</t>
    <rPh sb="0" eb="2">
      <t>ムラカミ</t>
    </rPh>
    <phoneticPr fontId="2"/>
  </si>
  <si>
    <t>香川県村上学園高等学校</t>
  </si>
  <si>
    <t>RITA学園高等学校</t>
    <rPh sb="4" eb="6">
      <t>ガクエン</t>
    </rPh>
    <rPh sb="6" eb="8">
      <t>コウトウ</t>
    </rPh>
    <rPh sb="8" eb="10">
      <t>ガッコウ</t>
    </rPh>
    <phoneticPr fontId="2"/>
  </si>
  <si>
    <t>香川県RITA学園高等学校</t>
  </si>
  <si>
    <t>穴吹学園高等学校</t>
    <rPh sb="0" eb="2">
      <t>アナブキ</t>
    </rPh>
    <rPh sb="2" eb="4">
      <t>ガクエン</t>
    </rPh>
    <rPh sb="4" eb="6">
      <t>コウトウ</t>
    </rPh>
    <rPh sb="6" eb="8">
      <t>ガッコウ</t>
    </rPh>
    <phoneticPr fontId="2"/>
  </si>
  <si>
    <t>香川県穴吹学園高等学校</t>
  </si>
  <si>
    <t>愛媛県今治精華高等学校</t>
  </si>
  <si>
    <t>帝京第五高等学校</t>
  </si>
  <si>
    <t>愛媛県帝京第五高等学校</t>
  </si>
  <si>
    <t>愛媛県未来高等学校</t>
  </si>
  <si>
    <t>未来高等学校新居浜校</t>
  </si>
  <si>
    <t>愛媛県未来高等学校新居浜校</t>
  </si>
  <si>
    <t>愛媛県日本ウェルネス高等学校</t>
  </si>
  <si>
    <t>定/通信制</t>
    <rPh sb="0" eb="1">
      <t>サダム</t>
    </rPh>
    <rPh sb="2" eb="5">
      <t>ツウシンセイ</t>
    </rPh>
    <phoneticPr fontId="5"/>
  </si>
  <si>
    <t>筑紫女学園高等学校</t>
  </si>
  <si>
    <t>福岡県筑紫女学園高等学校</t>
  </si>
  <si>
    <t>沖学園高等学校</t>
    <rPh sb="0" eb="3">
      <t>オキガクエン</t>
    </rPh>
    <rPh sb="3" eb="7">
      <t>コウトウガッコウ</t>
    </rPh>
    <phoneticPr fontId="5"/>
  </si>
  <si>
    <t>福岡県沖学園高等学校</t>
  </si>
  <si>
    <t>九州国際大学付属高等学校</t>
  </si>
  <si>
    <t>福岡県九州国際大学付属高等学校</t>
  </si>
  <si>
    <t>西南女学院高等学校</t>
  </si>
  <si>
    <t>福岡県西南女学院高等学校</t>
  </si>
  <si>
    <t>誠修高等学校</t>
  </si>
  <si>
    <t>福岡県誠修高等学校</t>
  </si>
  <si>
    <t>福岡県久留米信愛高等学校</t>
  </si>
  <si>
    <t>福岡県柳川高等学校</t>
  </si>
  <si>
    <t>福岡県福智高等学校</t>
  </si>
  <si>
    <t>福岡海星女子学院高等学校</t>
  </si>
  <si>
    <t>福岡県福岡海星女子学院高等学校</t>
  </si>
  <si>
    <t>福岡県第一薬科大学付属高等学校</t>
  </si>
  <si>
    <t>つくば開成福岡高等学校</t>
    <rPh sb="3" eb="5">
      <t>カイセイ</t>
    </rPh>
    <rPh sb="5" eb="7">
      <t>フクオカ</t>
    </rPh>
    <rPh sb="7" eb="9">
      <t>コウトウ</t>
    </rPh>
    <rPh sb="9" eb="11">
      <t>ガッコウ</t>
    </rPh>
    <phoneticPr fontId="2"/>
  </si>
  <si>
    <t>福岡県つくば開成福岡高等学校</t>
  </si>
  <si>
    <t>福岡芸術高等学校</t>
    <rPh sb="0" eb="2">
      <t>フクオカ</t>
    </rPh>
    <rPh sb="2" eb="4">
      <t>ゲイジュツ</t>
    </rPh>
    <rPh sb="4" eb="8">
      <t>コウトウガッコウ</t>
    </rPh>
    <phoneticPr fontId="2"/>
  </si>
  <si>
    <t>福岡県福岡芸術高等学校</t>
  </si>
  <si>
    <t>佐賀県敬徳高等学校</t>
  </si>
  <si>
    <t>創成館高等学校</t>
  </si>
  <si>
    <t>長崎県創成館高等学校</t>
  </si>
  <si>
    <t>長崎県長崎南山高等学校</t>
  </si>
  <si>
    <t>こころ未来高等学校</t>
    <rPh sb="3" eb="5">
      <t>ミライ</t>
    </rPh>
    <rPh sb="5" eb="7">
      <t>コウトウ</t>
    </rPh>
    <rPh sb="7" eb="9">
      <t>ガッコウ</t>
    </rPh>
    <phoneticPr fontId="2"/>
  </si>
  <si>
    <t>長崎県こころ未来高等学校</t>
  </si>
  <si>
    <t>こころ咲良高等学校</t>
    <rPh sb="3" eb="5">
      <t>サクラ</t>
    </rPh>
    <rPh sb="5" eb="9">
      <t>コ</t>
    </rPh>
    <phoneticPr fontId="2"/>
  </si>
  <si>
    <t>長崎県こころ咲良高等学校</t>
  </si>
  <si>
    <t>熊本県勇志国際高等学校</t>
  </si>
  <si>
    <t>くまもと清陵高等学校</t>
    <rPh sb="4" eb="6">
      <t>セイリョウ</t>
    </rPh>
    <rPh sb="6" eb="8">
      <t>コウトウ</t>
    </rPh>
    <rPh sb="8" eb="10">
      <t>ガッコウ</t>
    </rPh>
    <phoneticPr fontId="2"/>
  </si>
  <si>
    <t>熊本県くまもと清陵高等学校</t>
  </si>
  <si>
    <t>大分県藤蔭高等学校</t>
  </si>
  <si>
    <t>東九州龍谷高等学校</t>
  </si>
  <si>
    <t>大分県東九州龍谷高等学校</t>
  </si>
  <si>
    <t>大分県稲葉学園高等学校</t>
  </si>
  <si>
    <t>大分県府内高等学校</t>
  </si>
  <si>
    <t>宮崎学園高等学校</t>
  </si>
  <si>
    <t>宮崎県宮崎学園高等学校</t>
  </si>
  <si>
    <t>日章学園高等学校</t>
  </si>
  <si>
    <t>宮崎県日章学園高等学校</t>
  </si>
  <si>
    <t>宮崎県都城高等学校</t>
  </si>
  <si>
    <t>宮崎県小林西高等学校</t>
  </si>
  <si>
    <t>宮崎県都城聖ドミニコ学園高等学校</t>
  </si>
  <si>
    <t>鹿児島県屋久島おおぞら高等学校</t>
  </si>
  <si>
    <t>八洲学園大学国際高等学校</t>
    <rPh sb="0" eb="6">
      <t>ヤシマガクエンダイガク</t>
    </rPh>
    <rPh sb="6" eb="8">
      <t>コクサイ</t>
    </rPh>
    <phoneticPr fontId="2"/>
  </si>
  <si>
    <t>沖縄県八洲学園大学国際高等学校</t>
  </si>
  <si>
    <t>ヒューマンキャンパス高等学校</t>
    <rPh sb="10" eb="12">
      <t>コウトウ</t>
    </rPh>
    <rPh sb="12" eb="14">
      <t>ガッコウ</t>
    </rPh>
    <phoneticPr fontId="2"/>
  </si>
  <si>
    <t>沖縄県ヒューマンキャンパス高等学校</t>
  </si>
  <si>
    <t>Ｎ高等学校</t>
    <rPh sb="1" eb="3">
      <t>コウトウ</t>
    </rPh>
    <rPh sb="3" eb="5">
      <t>ガッコウ</t>
    </rPh>
    <phoneticPr fontId="2"/>
  </si>
  <si>
    <t>沖縄県Ｎ高等学校</t>
  </si>
  <si>
    <t>つくば開成国際高等学校</t>
    <rPh sb="3" eb="5">
      <t>カイセイ</t>
    </rPh>
    <rPh sb="5" eb="7">
      <t>コクサイ</t>
    </rPh>
    <rPh sb="7" eb="9">
      <t>コウトウ</t>
    </rPh>
    <rPh sb="9" eb="11">
      <t>ガッコウ</t>
    </rPh>
    <phoneticPr fontId="2"/>
  </si>
  <si>
    <t>沖縄県つくば開成国際高等学校</t>
  </si>
  <si>
    <t>瑞穂MSC高等学校</t>
    <rPh sb="0" eb="2">
      <t>ミズホ</t>
    </rPh>
    <rPh sb="5" eb="9">
      <t>コウトウガッコウ</t>
    </rPh>
    <phoneticPr fontId="2"/>
  </si>
  <si>
    <t>沖縄県瑞穂MSC高等学校</t>
  </si>
  <si>
    <t>エナジックスポーツ高等学院</t>
  </si>
  <si>
    <t>沖縄県エナジックスポーツ高等学院</t>
  </si>
  <si>
    <t>沖縄中央高等学校</t>
    <rPh sb="0" eb="2">
      <t>オキナワ</t>
    </rPh>
    <rPh sb="2" eb="8">
      <t>チュウオウコウトウガッコウ</t>
    </rPh>
    <phoneticPr fontId="2"/>
  </si>
  <si>
    <t>沖縄県沖縄中央高等学校</t>
  </si>
  <si>
    <t>【高等学校　専攻科】</t>
    <rPh sb="6" eb="9">
      <t>センコウカ</t>
    </rPh>
    <phoneticPr fontId="3"/>
  </si>
  <si>
    <t>→</t>
    <phoneticPr fontId="15"/>
  </si>
  <si>
    <t>手入力、訂正</t>
    <rPh sb="0" eb="3">
      <t>テニュウリョク</t>
    </rPh>
    <rPh sb="4" eb="6">
      <t>テイセイ</t>
    </rPh>
    <phoneticPr fontId="15"/>
  </si>
  <si>
    <t>④回答者情報</t>
    <rPh sb="1" eb="4">
      <t>カイトウシャ</t>
    </rPh>
    <rPh sb="4" eb="6">
      <t>ジョウホウ</t>
    </rPh>
    <phoneticPr fontId="15"/>
  </si>
  <si>
    <t>本   票（高等学校　専攻科）</t>
    <rPh sb="11" eb="14">
      <t>センコウカ</t>
    </rPh>
    <phoneticPr fontId="61"/>
  </si>
  <si>
    <t>専攻科　男女共学別</t>
    <rPh sb="0" eb="2">
      <t>センコウ</t>
    </rPh>
    <rPh sb="2" eb="3">
      <t>カ</t>
    </rPh>
    <phoneticPr fontId="3"/>
  </si>
  <si>
    <t>該当する番号を四角枠内で選択してください（セルを選択し▼をクリック）。</t>
    <rPh sb="0" eb="2">
      <t>ガイトウ</t>
    </rPh>
    <rPh sb="4" eb="6">
      <t>バンゴウ</t>
    </rPh>
    <rPh sb="7" eb="9">
      <t>シカク</t>
    </rPh>
    <rPh sb="9" eb="11">
      <t>ワクナイ</t>
    </rPh>
    <rPh sb="12" eb="14">
      <t>センタク</t>
    </rPh>
    <rPh sb="24" eb="26">
      <t>センタク</t>
    </rPh>
    <phoneticPr fontId="3"/>
  </si>
  <si>
    <t>男　子　校</t>
    <rPh sb="0" eb="1">
      <t>オトコ</t>
    </rPh>
    <rPh sb="2" eb="3">
      <t>コ</t>
    </rPh>
    <rPh sb="4" eb="5">
      <t>コウ</t>
    </rPh>
    <phoneticPr fontId="3"/>
  </si>
  <si>
    <t>「男女共学別」については、男子もしくは女子の生徒が在籍していない場合であっても、
学則上共学なら「共学校」を選択する。</t>
    <rPh sb="1" eb="6">
      <t>ダンジョキョウガクベツ</t>
    </rPh>
    <rPh sb="13" eb="15">
      <t>ダンシ</t>
    </rPh>
    <rPh sb="19" eb="21">
      <t>ジョシ</t>
    </rPh>
    <rPh sb="22" eb="24">
      <t>セイト</t>
    </rPh>
    <rPh sb="25" eb="27">
      <t>ザイセキ</t>
    </rPh>
    <rPh sb="32" eb="34">
      <t>バアイ</t>
    </rPh>
    <rPh sb="41" eb="44">
      <t>ガクソクジョウ</t>
    </rPh>
    <rPh sb="44" eb="46">
      <t>キョウガク</t>
    </rPh>
    <rPh sb="49" eb="51">
      <t>キョウガク</t>
    </rPh>
    <rPh sb="51" eb="52">
      <t>コウ</t>
    </rPh>
    <rPh sb="54" eb="56">
      <t>センタク</t>
    </rPh>
    <phoneticPr fontId="3"/>
  </si>
  <si>
    <t>女　子　校</t>
    <rPh sb="0" eb="1">
      <t>オンナ</t>
    </rPh>
    <rPh sb="2" eb="3">
      <t>コ</t>
    </rPh>
    <rPh sb="4" eb="5">
      <t>コウ</t>
    </rPh>
    <phoneticPr fontId="3"/>
  </si>
  <si>
    <t>共　学　校</t>
    <rPh sb="0" eb="1">
      <t>トモ</t>
    </rPh>
    <rPh sb="2" eb="3">
      <t>ガク</t>
    </rPh>
    <rPh sb="4" eb="5">
      <t>コウ</t>
    </rPh>
    <phoneticPr fontId="3"/>
  </si>
  <si>
    <t>男女別生徒数を記入してください</t>
    <rPh sb="0" eb="2">
      <t>ダンジョ</t>
    </rPh>
    <rPh sb="2" eb="3">
      <t>ベツ</t>
    </rPh>
    <rPh sb="3" eb="6">
      <t>セイトスウ</t>
    </rPh>
    <rPh sb="7" eb="9">
      <t>キニュウ</t>
    </rPh>
    <phoneticPr fontId="15"/>
  </si>
  <si>
    <t>該当する番号を選択</t>
    <rPh sb="7" eb="9">
      <t>センタク</t>
    </rPh>
    <phoneticPr fontId="3"/>
  </si>
  <si>
    <t>←男女共学別を選択してください</t>
    <rPh sb="1" eb="6">
      <t>ダンジョキョウガクベツ</t>
    </rPh>
    <rPh sb="7" eb="9">
      <t>センタク</t>
    </rPh>
    <phoneticPr fontId="1"/>
  </si>
  <si>
    <t>←男女別生徒数を記入してください。</t>
    <rPh sb="1" eb="4">
      <t>ダンジョベツ</t>
    </rPh>
    <rPh sb="4" eb="7">
      <t>セイトスウ</t>
    </rPh>
    <rPh sb="8" eb="10">
      <t>キニュウ</t>
    </rPh>
    <phoneticPr fontId="1"/>
  </si>
  <si>
    <t>←男子生徒数を記入してください。いない場合は「0」と記入してください。</t>
    <phoneticPr fontId="15"/>
  </si>
  <si>
    <t>←女子生徒数を記入してください。いない場合は「0」と記入してください。</t>
    <phoneticPr fontId="1"/>
  </si>
  <si>
    <t>←男女別生徒数計が現員総数と一致しません。</t>
    <rPh sb="1" eb="3">
      <t>ダンジョ</t>
    </rPh>
    <rPh sb="3" eb="4">
      <t>ベツ</t>
    </rPh>
    <rPh sb="4" eb="7">
      <t>セイトスウ</t>
    </rPh>
    <rPh sb="7" eb="8">
      <t>ケイ</t>
    </rPh>
    <rPh sb="9" eb="11">
      <t>ゲンイン</t>
    </rPh>
    <rPh sb="11" eb="13">
      <t>ソウスウ</t>
    </rPh>
    <rPh sb="13" eb="14">
      <t>ゲンケイ</t>
    </rPh>
    <rPh sb="14" eb="16">
      <t>イッチ</t>
    </rPh>
    <phoneticPr fontId="1"/>
  </si>
  <si>
    <t>Ⅰ．入学状況・生徒数</t>
    <rPh sb="2" eb="4">
      <t>ニュウガク</t>
    </rPh>
    <rPh sb="4" eb="6">
      <t>ジョウキョウ</t>
    </rPh>
    <rPh sb="7" eb="10">
      <t>セイトスウ</t>
    </rPh>
    <phoneticPr fontId="3"/>
  </si>
  <si>
    <t>区　　　分</t>
    <rPh sb="0" eb="1">
      <t>ク</t>
    </rPh>
    <rPh sb="4" eb="5">
      <t>ブン</t>
    </rPh>
    <phoneticPr fontId="3"/>
  </si>
  <si>
    <t>入学状況</t>
    <phoneticPr fontId="3"/>
  </si>
  <si>
    <t>生徒数（５月１日現在）</t>
    <phoneticPr fontId="3"/>
  </si>
  <si>
    <t>現員
総数</t>
    <rPh sb="0" eb="2">
      <t>ゲンイン</t>
    </rPh>
    <rPh sb="3" eb="5">
      <t>ソウスウ</t>
    </rPh>
    <phoneticPr fontId="61"/>
  </si>
  <si>
    <t>専攻科ごとに選択してください↓</t>
    <rPh sb="0" eb="3">
      <t>センコウカ</t>
    </rPh>
    <rPh sb="6" eb="8">
      <t>センタク</t>
    </rPh>
    <phoneticPr fontId="3"/>
  </si>
  <si>
    <t>入学志願者数</t>
  </si>
  <si>
    <t>受験
者数</t>
    <rPh sb="0" eb="2">
      <t>ジュケン</t>
    </rPh>
    <rPh sb="3" eb="4">
      <t>シャ</t>
    </rPh>
    <rPh sb="4" eb="5">
      <t>スウ</t>
    </rPh>
    <phoneticPr fontId="3"/>
  </si>
  <si>
    <t>合格　　　者数</t>
    <phoneticPr fontId="3"/>
  </si>
  <si>
    <t>入学　　者数</t>
    <phoneticPr fontId="3"/>
  </si>
  <si>
    <t>定員／
現員別</t>
    <rPh sb="0" eb="2">
      <t>テイイン</t>
    </rPh>
    <rPh sb="4" eb="6">
      <t>ゲンイン</t>
    </rPh>
    <rPh sb="6" eb="7">
      <t>ベツ</t>
    </rPh>
    <phoneticPr fontId="3"/>
  </si>
  <si>
    <t>１年生</t>
  </si>
  <si>
    <t>２年生</t>
  </si>
  <si>
    <t>３年生</t>
  </si>
  <si>
    <t>関係分野
（↓選択）</t>
    <rPh sb="0" eb="2">
      <t>カンケイ</t>
    </rPh>
    <rPh sb="2" eb="4">
      <t>ブンヤ</t>
    </rPh>
    <rPh sb="7" eb="9">
      <t>センタク</t>
    </rPh>
    <phoneticPr fontId="3"/>
  </si>
  <si>
    <t>課程</t>
    <rPh sb="0" eb="2">
      <t>カテイ</t>
    </rPh>
    <phoneticPr fontId="3"/>
  </si>
  <si>
    <t>修業年限</t>
    <rPh sb="0" eb="2">
      <t>シュウギョウ</t>
    </rPh>
    <rPh sb="2" eb="4">
      <t>ネンゲン</t>
    </rPh>
    <phoneticPr fontId="3"/>
  </si>
  <si>
    <t>←関係分野を選択してください</t>
    <rPh sb="1" eb="5">
      <t>カンケイブンヤ</t>
    </rPh>
    <rPh sb="6" eb="8">
      <t>センタク</t>
    </rPh>
    <phoneticPr fontId="1"/>
  </si>
  <si>
    <t>←課程を選択してください</t>
    <rPh sb="1" eb="3">
      <t>カテイ</t>
    </rPh>
    <rPh sb="4" eb="6">
      <t>センタク</t>
    </rPh>
    <phoneticPr fontId="1"/>
  </si>
  <si>
    <t>←修業年限を選択してください</t>
    <rPh sb="1" eb="5">
      <t>シュウギョウネンゲン</t>
    </rPh>
    <rPh sb="6" eb="8">
      <t>センタク</t>
    </rPh>
    <phoneticPr fontId="1"/>
  </si>
  <si>
    <t>←入学志願者数を記入してください。(募集停止校の場合は「0」を入力してください。)</t>
    <rPh sb="1" eb="7">
      <t>ニュウガクシガンシャスウ</t>
    </rPh>
    <rPh sb="8" eb="10">
      <t>キニュウ</t>
    </rPh>
    <rPh sb="31" eb="33">
      <t>ニュウリョク</t>
    </rPh>
    <phoneticPr fontId="1"/>
  </si>
  <si>
    <t>←受験者数を記入してください。(募集停止校の場合は「0」を入力してください。)</t>
    <rPh sb="1" eb="4">
      <t>ジュケンシャ</t>
    </rPh>
    <rPh sb="4" eb="5">
      <t>スウ</t>
    </rPh>
    <rPh sb="6" eb="8">
      <t>キニュウ</t>
    </rPh>
    <rPh sb="29" eb="31">
      <t>ニュウリョク</t>
    </rPh>
    <phoneticPr fontId="1"/>
  </si>
  <si>
    <t>←合格者数を記入してください。(募集停止校の場合は「0」を入力してください。)</t>
    <rPh sb="1" eb="5">
      <t>ゴウカクシャスウ</t>
    </rPh>
    <rPh sb="6" eb="8">
      <t>キニュウ</t>
    </rPh>
    <rPh sb="29" eb="31">
      <t>ニュウリョク</t>
    </rPh>
    <phoneticPr fontId="1"/>
  </si>
  <si>
    <t>←入学者数を記入してください。(募集停止校の場合は「0」を入力してください。)</t>
    <rPh sb="1" eb="5">
      <t>ニュウガクシャスウ</t>
    </rPh>
    <rPh sb="6" eb="8">
      <t>キニュウ</t>
    </rPh>
    <rPh sb="29" eb="31">
      <t>ニュウリョク</t>
    </rPh>
    <phoneticPr fontId="1"/>
  </si>
  <si>
    <t>←学年別定員を記入してください。（なしの場合は「0」を入力してください。）</t>
    <rPh sb="1" eb="4">
      <t>ガクネンベツ</t>
    </rPh>
    <rPh sb="4" eb="6">
      <t>テイイン</t>
    </rPh>
    <rPh sb="7" eb="9">
      <t>キニュウ</t>
    </rPh>
    <phoneticPr fontId="1"/>
  </si>
  <si>
    <t>←１年生の定員が未記入です。（募集停止校の場合は「0」を入力してください。）</t>
    <rPh sb="2" eb="4">
      <t>ネンセイ</t>
    </rPh>
    <rPh sb="5" eb="7">
      <t>テイイン</t>
    </rPh>
    <rPh sb="8" eb="11">
      <t>ミキニュウ</t>
    </rPh>
    <rPh sb="15" eb="19">
      <t>ボシュウテイシ</t>
    </rPh>
    <rPh sb="19" eb="20">
      <t>コウ</t>
    </rPh>
    <rPh sb="21" eb="23">
      <t>バアイ</t>
    </rPh>
    <rPh sb="28" eb="30">
      <t>ニュウリョク</t>
    </rPh>
    <phoneticPr fontId="1"/>
  </si>
  <si>
    <t>←２年生の定員が未記入です。（なしの場合は「0」を入力してください。）</t>
    <rPh sb="2" eb="4">
      <t>ネンセイ</t>
    </rPh>
    <rPh sb="5" eb="7">
      <t>テイイン</t>
    </rPh>
    <rPh sb="8" eb="11">
      <t>ミキニュウ</t>
    </rPh>
    <rPh sb="18" eb="20">
      <t>バアイ</t>
    </rPh>
    <rPh sb="25" eb="27">
      <t>ニュウリョク</t>
    </rPh>
    <phoneticPr fontId="1"/>
  </si>
  <si>
    <t>←３年生の定員が未記入です。（なしの場合は「0」を入力してください。）</t>
    <rPh sb="2" eb="4">
      <t>ネンセイ</t>
    </rPh>
    <rPh sb="5" eb="7">
      <t>テイイン</t>
    </rPh>
    <rPh sb="8" eb="11">
      <t>ミキニュウ</t>
    </rPh>
    <rPh sb="18" eb="20">
      <t>バアイ</t>
    </rPh>
    <rPh sb="25" eb="27">
      <t>ニュウリョク</t>
    </rPh>
    <phoneticPr fontId="1"/>
  </si>
  <si>
    <t>←入学志願者より受験者が多くなっています。</t>
    <rPh sb="1" eb="6">
      <t>ニュウガクシガンシャ</t>
    </rPh>
    <rPh sb="8" eb="11">
      <t>ジュケンシャ</t>
    </rPh>
    <rPh sb="12" eb="13">
      <t>オオ</t>
    </rPh>
    <phoneticPr fontId="1"/>
  </si>
  <si>
    <t>←受験者より合格者が多くなっています。</t>
    <rPh sb="1" eb="4">
      <t>ジュケンシャ</t>
    </rPh>
    <rPh sb="6" eb="9">
      <t>ゴウカクシャ</t>
    </rPh>
    <rPh sb="10" eb="11">
      <t>オオ</t>
    </rPh>
    <phoneticPr fontId="1"/>
  </si>
  <si>
    <t>←合格者数より入学者数が多くなっています。（合格者には追加・内部進学者数等も含めてください。正しい場合は構いません。）</t>
  </si>
  <si>
    <t>←入学者数が１年生生徒数を超えています。（5/1以前に退学した場合には、入学志願者数～入学者数からも除外してください。）</t>
  </si>
  <si>
    <t>←設置のある学科について、学年別生徒数を記入してください。（いない場合には「0」を入力してください。）</t>
    <rPh sb="1" eb="3">
      <t>セッチ</t>
    </rPh>
    <rPh sb="6" eb="8">
      <t>ガッカ</t>
    </rPh>
    <rPh sb="13" eb="16">
      <t>ガクネンベツ</t>
    </rPh>
    <rPh sb="16" eb="19">
      <t>セイトスウ</t>
    </rPh>
    <rPh sb="20" eb="22">
      <t>キニュウ</t>
    </rPh>
    <rPh sb="33" eb="35">
      <t>バアイ</t>
    </rPh>
    <rPh sb="41" eb="43">
      <t>ニュウリョク</t>
    </rPh>
    <phoneticPr fontId="1"/>
  </si>
  <si>
    <t>←１年生の生徒数（現員）が未記入です。（募集停止校の場合は「0」を入力してください。）</t>
    <rPh sb="2" eb="4">
      <t>ネンセイ</t>
    </rPh>
    <rPh sb="5" eb="8">
      <t>セイトスウ</t>
    </rPh>
    <rPh sb="9" eb="11">
      <t>ゲンイン</t>
    </rPh>
    <rPh sb="13" eb="16">
      <t>ミキニュウ</t>
    </rPh>
    <rPh sb="20" eb="24">
      <t>ボシュウテイシ</t>
    </rPh>
    <rPh sb="24" eb="25">
      <t>コウ</t>
    </rPh>
    <rPh sb="26" eb="28">
      <t>バアイ</t>
    </rPh>
    <rPh sb="33" eb="35">
      <t>ニュウリョク</t>
    </rPh>
    <phoneticPr fontId="1"/>
  </si>
  <si>
    <t>←２年生の生徒数（現員）が未記入です。（不在の場合は「0」を入力してください。）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</si>
  <si>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←３年生の生徒数（現員）が未記入です。（不在の場合は「0」を入力してください。）</t>
    <rPh sb="2" eb="4">
      <t>ネンセイ</t>
    </rPh>
    <rPh sb="5" eb="7">
      <t>セイト</t>
    </rPh>
    <rPh sb="7" eb="8">
      <t>スウ</t>
    </rPh>
    <rPh sb="9" eb="11">
      <t>ゲンイン</t>
    </rPh>
    <rPh sb="13" eb="16">
      <t>ミキニュウ</t>
    </rPh>
    <rPh sb="20" eb="22">
      <t>フザイ</t>
    </rPh>
    <rPh sb="23" eb="25">
      <t>バアイ</t>
    </rPh>
    <rPh sb="30" eb="32">
      <t>ニュウリョク</t>
    </rPh>
    <phoneticPr fontId="1"/>
  </si>
  <si>
    <t>←定員・生徒数計が学年別内訳計と一致しません。</t>
    <rPh sb="1" eb="3">
      <t>テイイン</t>
    </rPh>
    <rPh sb="4" eb="7">
      <t>セイトスウ</t>
    </rPh>
    <rPh sb="7" eb="8">
      <t>ケイ</t>
    </rPh>
    <rPh sb="9" eb="12">
      <t>ガクネンベツ</t>
    </rPh>
    <rPh sb="12" eb="14">
      <t>ウチワケ</t>
    </rPh>
    <rPh sb="14" eb="15">
      <t>ケイ</t>
    </rPh>
    <rPh sb="16" eb="18">
      <t>イッチ</t>
    </rPh>
    <phoneticPr fontId="1"/>
  </si>
  <si>
    <t>←生徒数計が学年別内訳計と一致しません。</t>
    <rPh sb="1" eb="4">
      <t>セイトスウ</t>
    </rPh>
    <rPh sb="4" eb="5">
      <t>ケイ</t>
    </rPh>
    <rPh sb="6" eb="9">
      <t>ガクネンベツ</t>
    </rPh>
    <rPh sb="9" eb="11">
      <t>ウチワケ</t>
    </rPh>
    <rPh sb="11" eb="12">
      <t>ケイ</t>
    </rPh>
    <rPh sb="13" eb="15">
      <t>イッチ</t>
    </rPh>
    <phoneticPr fontId="1"/>
  </si>
  <si>
    <t>選択↓</t>
  </si>
  <si>
    <t>定員</t>
    <rPh sb="0" eb="2">
      <t>テイイン</t>
    </rPh>
    <phoneticPr fontId="3"/>
  </si>
  <si>
    <t>年</t>
    <rPh sb="0" eb="1">
      <t>ネン</t>
    </rPh>
    <phoneticPr fontId="3"/>
  </si>
  <si>
    <t>現員</t>
    <rPh sb="0" eb="2">
      <t>ゲンイン</t>
    </rPh>
    <phoneticPr fontId="3"/>
  </si>
  <si>
    <t>(注)１．</t>
    <phoneticPr fontId="3"/>
  </si>
  <si>
    <r>
      <t>看護（２年課程）：高校の</t>
    </r>
    <r>
      <rPr>
        <u/>
        <sz val="10"/>
        <rFont val="ＭＳ Ｐゴシック"/>
        <family val="3"/>
        <charset val="128"/>
      </rPr>
      <t>准看護師課程卒業生</t>
    </r>
    <r>
      <rPr>
        <sz val="10"/>
        <rFont val="ＭＳ Ｐゴシック"/>
        <family val="3"/>
        <charset val="128"/>
      </rPr>
      <t>を対象とした２年課程の</t>
    </r>
    <r>
      <rPr>
        <u/>
        <sz val="10"/>
        <rFont val="ＭＳ Ｐゴシック"/>
        <family val="3"/>
        <charset val="128"/>
      </rPr>
      <t>１、２年生</t>
    </r>
    <r>
      <rPr>
        <sz val="10"/>
        <rFont val="ＭＳ Ｐゴシック"/>
        <family val="3"/>
        <charset val="128"/>
      </rPr>
      <t>。</t>
    </r>
    <phoneticPr fontId="3"/>
  </si>
  <si>
    <t>２．</t>
    <phoneticPr fontId="3"/>
  </si>
  <si>
    <r>
      <t>看護（５年一貫）：高校の看護科入学からの５年一貫課程の</t>
    </r>
    <r>
      <rPr>
        <u/>
        <sz val="10"/>
        <rFont val="ＭＳ Ｐゴシック"/>
        <family val="3"/>
        <charset val="128"/>
      </rPr>
      <t>４、５年生。</t>
    </r>
    <phoneticPr fontId="3"/>
  </si>
  <si>
    <r>
      <t>※関係分野で「</t>
    </r>
    <r>
      <rPr>
        <b/>
        <sz val="10"/>
        <rFont val="ＭＳ Ｐゴシック"/>
        <family val="3"/>
        <charset val="128"/>
      </rPr>
      <t>その他※</t>
    </r>
    <r>
      <rPr>
        <sz val="10"/>
        <rFont val="ＭＳ Ｐゴシック"/>
        <family val="3"/>
        <charset val="128"/>
      </rPr>
      <t>」を選んだ場合は下記に</t>
    </r>
    <r>
      <rPr>
        <b/>
        <sz val="10"/>
        <rFont val="ＭＳ Ｐゴシック"/>
        <family val="3"/>
        <charset val="128"/>
      </rPr>
      <t>専攻科名</t>
    </r>
    <r>
      <rPr>
        <sz val="10"/>
        <rFont val="ＭＳ Ｐゴシック"/>
        <family val="3"/>
        <charset val="128"/>
      </rPr>
      <t>を記入してください。</t>
    </r>
    <rPh sb="1" eb="3">
      <t>カンケイ</t>
    </rPh>
    <rPh sb="3" eb="5">
      <t>ブンヤ</t>
    </rPh>
    <rPh sb="9" eb="10">
      <t>タ</t>
    </rPh>
    <rPh sb="13" eb="14">
      <t>エラ</t>
    </rPh>
    <rPh sb="16" eb="18">
      <t>バアイ</t>
    </rPh>
    <rPh sb="19" eb="21">
      <t>カキ</t>
    </rPh>
    <rPh sb="22" eb="25">
      <t>センコウカ</t>
    </rPh>
    <rPh sb="25" eb="26">
      <t>メイ</t>
    </rPh>
    <rPh sb="27" eb="29">
      <t>キニュウ</t>
    </rPh>
    <phoneticPr fontId="3"/>
  </si>
  <si>
    <t>専攻科</t>
    <rPh sb="0" eb="3">
      <t>センコウカ</t>
    </rPh>
    <phoneticPr fontId="3"/>
  </si>
  <si>
    <t>←専攻科名を記入してください</t>
    <rPh sb="1" eb="5">
      <t>センコウカメイ</t>
    </rPh>
    <rPh sb="6" eb="8">
      <t>キニュウ</t>
    </rPh>
    <phoneticPr fontId="1"/>
  </si>
  <si>
    <t>内部入学者（本科からの入学者）がいる場合は、「募集定員」「入学志願者数」「合格者数」「入学者数」に内部入学者数を含めてください。</t>
  </si>
  <si>
    <t>「学則定員」を学年ごとに定めていない場合は、全体の学則定員を修業年限で割った値を「１年生の学則定員」に記入してください。</t>
    <phoneticPr fontId="3"/>
  </si>
  <si>
    <t>Ⅱ．学級数</t>
    <rPh sb="2" eb="4">
      <t>ガッキュウ</t>
    </rPh>
    <rPh sb="4" eb="5">
      <t>スウ</t>
    </rPh>
    <phoneticPr fontId="3"/>
  </si>
  <si>
    <t>備考</t>
    <rPh sb="0" eb="2">
      <t>ビコウ</t>
    </rPh>
    <phoneticPr fontId="3"/>
  </si>
  <si>
    <t>１年生</t>
    <phoneticPr fontId="3"/>
  </si>
  <si>
    <t>２年生</t>
    <phoneticPr fontId="3"/>
  </si>
  <si>
    <t>３年生</t>
    <phoneticPr fontId="3"/>
  </si>
  <si>
    <r>
      <t>Ⅲ．生徒１人当りの納付金</t>
    </r>
    <r>
      <rPr>
        <b/>
        <sz val="11"/>
        <color rgb="FFFF0000"/>
        <rFont val="ＭＳ Ｐゴシック"/>
        <family val="3"/>
        <charset val="128"/>
      </rPr>
      <t>【年額】</t>
    </r>
    <phoneticPr fontId="3"/>
  </si>
  <si>
    <t>備　考</t>
    <rPh sb="0" eb="1">
      <t>ビ</t>
    </rPh>
    <rPh sb="2" eb="3">
      <t>コウ</t>
    </rPh>
    <phoneticPr fontId="3"/>
  </si>
  <si>
    <t>都道府
県名</t>
    <rPh sb="0" eb="2">
      <t>トドウ</t>
    </rPh>
    <rPh sb="2" eb="3">
      <t>フ</t>
    </rPh>
    <rPh sb="4" eb="5">
      <t>ケン</t>
    </rPh>
    <rPh sb="5" eb="6">
      <t>メイ</t>
    </rPh>
    <phoneticPr fontId="20"/>
  </si>
  <si>
    <t>高等学校名・専攻科</t>
    <rPh sb="0" eb="4">
      <t>コウトウガッコウ</t>
    </rPh>
    <rPh sb="4" eb="5">
      <t>メイ</t>
    </rPh>
    <rPh sb="6" eb="9">
      <t>センコウカ</t>
    </rPh>
    <phoneticPr fontId="20"/>
  </si>
  <si>
    <t>Key</t>
    <phoneticPr fontId="15"/>
  </si>
  <si>
    <t>コード
番号8</t>
    <rPh sb="4" eb="6">
      <t>バンゴウ</t>
    </rPh>
    <phoneticPr fontId="20"/>
  </si>
  <si>
    <t>○</t>
  </si>
  <si>
    <t>×</t>
    <phoneticPr fontId="15"/>
  </si>
  <si>
    <t>不明</t>
    <rPh sb="0" eb="2">
      <t>フメイ</t>
    </rPh>
    <phoneticPr fontId="15"/>
  </si>
  <si>
    <t>盛岡誠桜高等学校</t>
  </si>
  <si>
    <t>浜松修学舎高等学校</t>
  </si>
  <si>
    <t>アナン学園高等学校</t>
  </si>
  <si>
    <t>大阪暁光高等学校</t>
  </si>
  <si>
    <t>清水ヶ丘高等学校</t>
  </si>
  <si>
    <t>山口中村学園高等学校</t>
  </si>
  <si>
    <t>四国学院大学香川西高等学校</t>
  </si>
  <si>
    <t>寒川高等学校</t>
    <phoneticPr fontId="15"/>
  </si>
  <si>
    <t>聖カタリナ学園高等学校</t>
  </si>
  <si>
    <t>福岡キャリアｉ高等学校</t>
  </si>
  <si>
    <t>聖心ウルスラ学園高等学校</t>
  </si>
  <si>
    <t>櫻美学園高等学校</t>
  </si>
  <si>
    <t>↑④に変更がある場合は選択</t>
    <phoneticPr fontId="15"/>
  </si>
  <si>
    <t>最初に選択してください</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</si>
</sst>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0_ "/>
    <numFmt numFmtId="178" formatCode="#,##0;&quot;▲ &quot;#,##0"/>
    <numFmt numFmtId="179" formatCode="#,##0_ ;&quot;△   &quot;#,##0_ "/>
    <numFmt numFmtId="180" formatCode="&quot;計&quot;0&quot;人&quot;"/>
    <numFmt numFmtId="181" formatCode="#,##0_);[Red]\(#,##0\)"/>
  </numFmts>
  <fonts count="117">
    <font>
      <sz val="8"/>
      <name val="ＭＳ 明朝"/>
      <family val="1"/>
      <charset val="128"/>
    </font>
    <font>
      <sz val="11"/>
      <color theme="1"/>
      <name val="ＭＳ Ｐゴシック"/>
      <family val="2"/>
      <charset val="128"/>
      <scheme val="minor"/>
    </font>
    <font>
      <sz val="11"/>
      <name val="ＭＳ ゴシック"/>
      <family val="3"/>
      <charset val="128"/>
    </font>
    <font>
      <sz val="6"/>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
      <sz val="9"/>
      <name val="ＭＳ Ｐゴシック"/>
      <family val="3"/>
      <charset val="128"/>
    </font>
    <font>
      <sz val="8"/>
      <name val="ＭＳ Ｐゴシック"/>
      <family val="3"/>
      <charset val="128"/>
    </font>
    <font>
      <sz val="7.5"/>
      <name val="ＭＳ Ｐゴシック"/>
      <family val="3"/>
      <charset val="128"/>
    </font>
    <font>
      <b/>
      <sz val="9"/>
      <name val="ＭＳ Ｐゴシック"/>
      <family val="3"/>
      <charset val="128"/>
    </font>
    <font>
      <sz val="8"/>
      <name val="ＭＳ 明朝"/>
      <family val="1"/>
      <charset val="128"/>
    </font>
    <font>
      <sz val="6"/>
      <name val="ＭＳ 明朝"/>
      <family val="1"/>
      <charset val="128"/>
    </font>
    <font>
      <sz val="6"/>
      <name val="ＭＳ Ｐゴシック"/>
      <family val="2"/>
      <charset val="128"/>
      <scheme val="minor"/>
    </font>
    <font>
      <sz val="8"/>
      <color theme="1"/>
      <name val="ＭＳ Ｐゴシック"/>
      <family val="3"/>
      <charset val="128"/>
      <scheme val="minor"/>
    </font>
    <font>
      <sz val="9"/>
      <color theme="1"/>
      <name val="ＭＳ Ｐゴシック"/>
      <family val="2"/>
      <charset val="128"/>
      <scheme val="minor"/>
    </font>
    <font>
      <b/>
      <sz val="10"/>
      <color rgb="FFFF0000"/>
      <name val="ＭＳ Ｐゴシック"/>
      <family val="3"/>
      <charset val="128"/>
    </font>
    <font>
      <b/>
      <sz val="11"/>
      <color rgb="FFFF0000"/>
      <name val="ＭＳ Ｐゴシック"/>
      <family val="3"/>
      <charset val="128"/>
    </font>
    <font>
      <sz val="11"/>
      <color theme="1"/>
      <name val="ＭＳ Ｐゴシック"/>
      <family val="3"/>
      <charset val="128"/>
    </font>
    <font>
      <sz val="10"/>
      <color theme="1"/>
      <name val="ＭＳ Ｐゴシック"/>
      <family val="3"/>
      <charset val="128"/>
    </font>
    <font>
      <sz val="12"/>
      <color theme="1"/>
      <name val="ＭＳ Ｐゴシック"/>
      <family val="3"/>
      <charset val="128"/>
    </font>
    <font>
      <sz val="12"/>
      <color theme="1"/>
      <name val="ＭＳ 明朝"/>
      <family val="1"/>
      <charset val="128"/>
    </font>
    <font>
      <sz val="7.5"/>
      <color theme="1"/>
      <name val="ＭＳ Ｐゴシック"/>
      <family val="3"/>
      <charset val="128"/>
    </font>
    <font>
      <sz val="8"/>
      <color theme="1"/>
      <name val="ＭＳ Ｐゴシック"/>
      <family val="3"/>
      <charset val="128"/>
    </font>
    <font>
      <sz val="10"/>
      <color theme="1"/>
      <name val="ＭＳ 明朝"/>
      <family val="1"/>
      <charset val="128"/>
    </font>
    <font>
      <sz val="9"/>
      <color theme="1"/>
      <name val="ＭＳ Ｐゴシック"/>
      <family val="3"/>
      <charset val="128"/>
    </font>
    <font>
      <sz val="9"/>
      <color theme="1"/>
      <name val="ＭＳ Ｐ明朝"/>
      <family val="1"/>
      <charset val="128"/>
    </font>
    <font>
      <b/>
      <sz val="9"/>
      <color theme="1"/>
      <name val="ＭＳ Ｐゴシック"/>
      <family val="3"/>
      <charset val="128"/>
    </font>
    <font>
      <b/>
      <sz val="11"/>
      <color theme="1"/>
      <name val="ＭＳ Ｐゴシック"/>
      <family val="3"/>
      <charset val="128"/>
    </font>
    <font>
      <sz val="10"/>
      <color theme="1"/>
      <name val="ＭＳ Ｐ明朝"/>
      <family val="1"/>
      <charset val="128"/>
    </font>
    <font>
      <sz val="9"/>
      <color theme="1"/>
      <name val="ＭＳ ゴシック"/>
      <family val="3"/>
      <charset val="128"/>
    </font>
    <font>
      <b/>
      <sz val="10"/>
      <color theme="1"/>
      <name val="ＭＳ Ｐゴシック"/>
      <family val="3"/>
      <charset val="128"/>
    </font>
    <font>
      <b/>
      <sz val="18"/>
      <color theme="1"/>
      <name val="ＭＳ Ｐゴシック"/>
      <family val="3"/>
      <charset val="128"/>
    </font>
    <font>
      <sz val="8"/>
      <color theme="1"/>
      <name val="ＭＳ 明朝"/>
      <family val="1"/>
      <charset val="128"/>
    </font>
    <font>
      <b/>
      <sz val="12"/>
      <color theme="1"/>
      <name val="ＭＳ Ｐゴシック"/>
      <family val="3"/>
      <charset val="128"/>
    </font>
    <font>
      <b/>
      <sz val="20"/>
      <color theme="1"/>
      <name val="ＭＳ Ｐゴシック"/>
      <family val="3"/>
      <charset val="128"/>
    </font>
    <font>
      <b/>
      <sz val="16"/>
      <color theme="1"/>
      <name val="ＭＳ Ｐゴシック"/>
      <family val="3"/>
      <charset val="128"/>
    </font>
    <font>
      <sz val="14"/>
      <color theme="1"/>
      <name val="ＭＳ Ｐゴシック"/>
      <family val="3"/>
      <charset val="128"/>
    </font>
    <font>
      <sz val="10"/>
      <color theme="1"/>
      <name val="ＭＳ ゴシック"/>
      <family val="3"/>
      <charset val="128"/>
    </font>
    <font>
      <sz val="9"/>
      <color theme="1"/>
      <name val="ＭＳ 明朝"/>
      <family val="1"/>
      <charset val="128"/>
    </font>
    <font>
      <sz val="8"/>
      <color rgb="FFFF0000"/>
      <name val="ＭＳ Ｐゴシック"/>
      <family val="3"/>
      <charset val="128"/>
    </font>
    <font>
      <sz val="9"/>
      <name val="ＭＳ Ｐ明朝"/>
      <family val="1"/>
      <charset val="128"/>
    </font>
    <font>
      <sz val="10"/>
      <name val="ＭＳ Ｐ明朝"/>
      <family val="1"/>
      <charset val="128"/>
    </font>
    <font>
      <sz val="10"/>
      <name val="ＭＳ 明朝"/>
      <family val="1"/>
      <charset val="128"/>
    </font>
    <font>
      <b/>
      <sz val="9"/>
      <color indexed="81"/>
      <name val="MS P ゴシック"/>
      <family val="3"/>
      <charset val="128"/>
    </font>
    <font>
      <sz val="9"/>
      <color rgb="FF0070C0"/>
      <name val="ＭＳ Ｐゴシック"/>
      <family val="3"/>
      <charset val="128"/>
    </font>
    <font>
      <sz val="9"/>
      <color rgb="FF7030A0"/>
      <name val="ＭＳ Ｐゴシック"/>
      <family val="3"/>
      <charset val="128"/>
    </font>
    <font>
      <sz val="9"/>
      <color theme="9" tint="-0.249977111117893"/>
      <name val="ＭＳ Ｐゴシック"/>
      <family val="3"/>
      <charset val="128"/>
    </font>
    <font>
      <sz val="14"/>
      <color rgb="FFFF0000"/>
      <name val="ＭＳ Ｐゴシック"/>
      <family val="3"/>
      <charset val="128"/>
    </font>
    <font>
      <sz val="10"/>
      <name val="ＭＳ Ｐゴシック"/>
      <family val="3"/>
    </font>
    <font>
      <sz val="9"/>
      <color rgb="FFFF0000"/>
      <name val="ＭＳ Ｐ明朝"/>
      <family val="1"/>
      <charset val="128"/>
    </font>
    <font>
      <b/>
      <sz val="12"/>
      <color theme="1"/>
      <name val="ＭＳ Ｐ明朝"/>
      <family val="1"/>
      <charset val="128"/>
    </font>
    <font>
      <sz val="9"/>
      <color theme="1"/>
      <name val="ＭＳ Ｐゴシック"/>
      <family val="3"/>
    </font>
    <font>
      <sz val="10"/>
      <color theme="1"/>
      <name val="ＭＳ Ｐゴシック"/>
      <family val="3"/>
      <charset val="128"/>
      <scheme val="minor"/>
    </font>
    <font>
      <sz val="9"/>
      <color theme="1"/>
      <name val="ＭＳ ゴシック"/>
      <family val="3"/>
    </font>
    <font>
      <sz val="10"/>
      <color theme="1"/>
      <name val="ＭＳ Ｐゴシック"/>
      <family val="3"/>
      <scheme val="minor"/>
    </font>
    <font>
      <sz val="7"/>
      <color theme="1"/>
      <name val="BIZ UDPゴシック"/>
      <family val="3"/>
      <charset val="128"/>
    </font>
    <font>
      <b/>
      <sz val="10"/>
      <color theme="1"/>
      <name val="ＭＳ Ｐゴシック"/>
      <family val="3"/>
      <charset val="128"/>
      <scheme val="minor"/>
    </font>
    <font>
      <sz val="6"/>
      <name val="ＭＳ Ｐゴシック"/>
      <family val="2"/>
      <charset val="128"/>
    </font>
    <font>
      <sz val="9"/>
      <name val="ＭＳ 明朝"/>
      <family val="1"/>
      <charset val="128"/>
    </font>
    <font>
      <sz val="11"/>
      <color theme="1"/>
      <name val="ＭＳ 明朝"/>
      <family val="1"/>
      <charset val="128"/>
    </font>
    <font>
      <b/>
      <sz val="12"/>
      <name val="ＭＳ Ｐゴシック"/>
      <family val="3"/>
      <charset val="128"/>
      <scheme val="minor"/>
    </font>
    <font>
      <sz val="9"/>
      <name val="ＭＳ Ｐゴシック"/>
      <family val="3"/>
      <charset val="128"/>
      <scheme val="minor"/>
    </font>
    <font>
      <sz val="8"/>
      <color theme="1"/>
      <name val="ＭＳ Ｐ明朝"/>
      <family val="1"/>
      <charset val="128"/>
    </font>
    <font>
      <b/>
      <sz val="14"/>
      <color theme="1"/>
      <name val="ＭＳ Ｐゴシック"/>
      <family val="3"/>
      <charset val="128"/>
    </font>
    <font>
      <sz val="8"/>
      <name val="ＭＳ Ｐ明朝"/>
      <family val="1"/>
      <charset val="128"/>
    </font>
    <font>
      <vertAlign val="superscript"/>
      <sz val="12"/>
      <color theme="1"/>
      <name val="ＭＳ Ｐ明朝"/>
      <family val="1"/>
      <charset val="128"/>
    </font>
    <font>
      <sz val="11"/>
      <color theme="0"/>
      <name val="ＭＳ Ｐゴシック"/>
      <family val="3"/>
      <charset val="128"/>
    </font>
    <font>
      <b/>
      <u/>
      <sz val="10"/>
      <name val="ＭＳ Ｐ明朝"/>
      <family val="1"/>
      <charset val="128"/>
    </font>
    <font>
      <sz val="8"/>
      <name val="BIZ UDゴシック"/>
      <family val="3"/>
      <charset val="128"/>
    </font>
    <font>
      <b/>
      <sz val="8"/>
      <name val="BIZ UDゴシック"/>
      <family val="3"/>
      <charset val="128"/>
    </font>
    <font>
      <sz val="10"/>
      <color rgb="FFE5E5FF"/>
      <name val="ＭＳ Ｐゴシック"/>
      <family val="3"/>
      <charset val="128"/>
    </font>
    <font>
      <sz val="9"/>
      <color rgb="FFE5E5FF"/>
      <name val="ＭＳ Ｐゴシック"/>
      <family val="3"/>
      <charset val="128"/>
    </font>
    <font>
      <sz val="10"/>
      <color theme="0"/>
      <name val="ＭＳ Ｐゴシック"/>
      <family val="3"/>
      <charset val="128"/>
    </font>
    <font>
      <sz val="7.5"/>
      <color theme="0"/>
      <name val="ＭＳ Ｐゴシック"/>
      <family val="3"/>
      <charset val="128"/>
    </font>
    <font>
      <b/>
      <sz val="9"/>
      <color rgb="FFFF0000"/>
      <name val="ＭＳ Ｐゴシック"/>
      <family val="3"/>
      <charset val="128"/>
    </font>
    <font>
      <sz val="10"/>
      <color rgb="FFCCFFFF"/>
      <name val="ＭＳ Ｐゴシック"/>
      <family val="3"/>
      <charset val="128"/>
    </font>
    <font>
      <sz val="9"/>
      <color rgb="FFCCFFFF"/>
      <name val="ＭＳ Ｐゴシック"/>
      <family val="3"/>
      <charset val="128"/>
    </font>
    <font>
      <b/>
      <sz val="8"/>
      <name val="ＭＳ Ｐゴシック"/>
      <family val="3"/>
      <charset val="128"/>
    </font>
    <font>
      <sz val="11"/>
      <name val="ＭＳ Ｐゴシック"/>
      <family val="3"/>
      <charset val="128"/>
      <scheme val="minor"/>
    </font>
    <font>
      <sz val="10"/>
      <name val="BIZ UDPゴシック"/>
      <family val="3"/>
      <charset val="128"/>
    </font>
    <font>
      <b/>
      <u/>
      <sz val="9"/>
      <color theme="1"/>
      <name val="ＭＳ Ｐゴシック"/>
      <family val="3"/>
      <charset val="128"/>
    </font>
    <font>
      <sz val="14"/>
      <name val="ＭＳ ゴシック"/>
      <family val="3"/>
      <charset val="128"/>
    </font>
    <font>
      <sz val="9"/>
      <color rgb="FF0000FF"/>
      <name val="ＭＳ Ｐゴシック"/>
      <family val="3"/>
      <charset val="128"/>
    </font>
    <font>
      <sz val="7.5"/>
      <color indexed="8"/>
      <name val="BIZ UDPゴシック"/>
      <family val="3"/>
      <charset val="128"/>
    </font>
    <font>
      <sz val="7.5"/>
      <color indexed="8"/>
      <name val="ＭＳ Ｐゴシック"/>
      <family val="3"/>
      <charset val="128"/>
    </font>
    <font>
      <sz val="7.5"/>
      <name val="BIZ UDPゴシック"/>
      <family val="3"/>
      <charset val="128"/>
    </font>
    <font>
      <sz val="7.5"/>
      <color theme="1"/>
      <name val="BIZ UDPゴシック"/>
      <family val="3"/>
      <charset val="128"/>
    </font>
    <font>
      <sz val="10"/>
      <color theme="1"/>
      <name val="BIZ UDPゴシック"/>
      <family val="3"/>
      <charset val="128"/>
    </font>
    <font>
      <b/>
      <sz val="8"/>
      <color rgb="FFFF0000"/>
      <name val="ＭＳ 明朝"/>
      <family val="1"/>
      <charset val="128"/>
    </font>
    <font>
      <b/>
      <sz val="10"/>
      <color theme="0"/>
      <name val="ＭＳ Ｐゴシック"/>
      <family val="3"/>
      <charset val="128"/>
    </font>
    <font>
      <b/>
      <sz val="9"/>
      <color theme="1"/>
      <name val="ＭＳ Ｐ明朝"/>
      <family val="1"/>
      <charset val="128"/>
    </font>
    <font>
      <sz val="9"/>
      <color rgb="FFFF0000"/>
      <name val="ＭＳ Ｐゴシック"/>
      <family val="3"/>
      <charset val="128"/>
    </font>
    <font>
      <b/>
      <sz val="8"/>
      <color theme="1"/>
      <name val="ＭＳ Ｐゴシック"/>
      <family val="3"/>
      <charset val="128"/>
    </font>
    <font>
      <sz val="11"/>
      <name val="BIZ UDPゴシック"/>
      <family val="3"/>
      <charset val="128"/>
    </font>
    <font>
      <b/>
      <sz val="10"/>
      <color theme="1"/>
      <name val="ＭＳ 明朝"/>
      <family val="1"/>
      <charset val="128"/>
    </font>
    <font>
      <sz val="9"/>
      <color theme="1"/>
      <name val="ＭＳ Ｐゴシック"/>
      <family val="3"/>
      <charset val="128"/>
      <scheme val="major"/>
    </font>
    <font>
      <u/>
      <sz val="10"/>
      <name val="ＭＳ Ｐ明朝"/>
      <family val="1"/>
      <charset val="128"/>
    </font>
    <font>
      <b/>
      <sz val="11"/>
      <color rgb="FFFF0000"/>
      <name val="BIZ UDPゴシック"/>
      <family val="3"/>
      <charset val="128"/>
    </font>
    <font>
      <b/>
      <sz val="10"/>
      <color theme="6" tint="-0.499984740745262"/>
      <name val="ＭＳ Ｐゴシック"/>
      <family val="3"/>
      <charset val="128"/>
    </font>
    <font>
      <b/>
      <sz val="10"/>
      <color theme="1"/>
      <name val="ＭＳ Ｐゴシック"/>
      <family val="3"/>
    </font>
    <font>
      <b/>
      <sz val="14"/>
      <color theme="0"/>
      <name val="ＭＳ Ｐゴシック"/>
      <family val="3"/>
      <charset val="128"/>
    </font>
    <font>
      <b/>
      <sz val="20"/>
      <name val="ＭＳ Ｐゴシック"/>
      <family val="3"/>
      <charset val="128"/>
    </font>
    <font>
      <sz val="9"/>
      <color indexed="8"/>
      <name val="ＭＳ Ｐ明朝"/>
      <family val="1"/>
      <charset val="128"/>
    </font>
    <font>
      <b/>
      <sz val="10"/>
      <name val="ＭＳ Ｐゴシック"/>
      <family val="3"/>
    </font>
    <font>
      <sz val="9"/>
      <color indexed="12"/>
      <name val="ＭＳ 明朝"/>
      <family val="1"/>
      <charset val="128"/>
    </font>
    <font>
      <sz val="8"/>
      <color indexed="10"/>
      <name val="ＭＳ 明朝"/>
      <family val="1"/>
      <charset val="128"/>
    </font>
    <font>
      <b/>
      <sz val="10"/>
      <color indexed="12"/>
      <name val="ＭＳ Ｐゴシック"/>
      <family val="3"/>
      <charset val="128"/>
    </font>
    <font>
      <sz val="10"/>
      <name val="ＭＳ ゴシック"/>
      <family val="3"/>
      <charset val="128"/>
    </font>
    <font>
      <sz val="10"/>
      <color indexed="8"/>
      <name val="ＭＳ Ｐゴシック"/>
      <family val="3"/>
      <charset val="128"/>
    </font>
    <font>
      <sz val="8"/>
      <color indexed="8"/>
      <name val="ＭＳ 明朝"/>
      <family val="1"/>
      <charset val="128"/>
    </font>
    <font>
      <u/>
      <sz val="10"/>
      <name val="ＭＳ Ｐゴシック"/>
      <family val="3"/>
      <charset val="128"/>
    </font>
    <font>
      <sz val="9"/>
      <color rgb="FFCCFFCC"/>
      <name val="ＭＳ Ｐゴシック"/>
      <family val="3"/>
      <charset val="128"/>
    </font>
    <font>
      <b/>
      <sz val="11"/>
      <color theme="1"/>
      <name val="ＭＳ ゴシック"/>
      <family val="3"/>
      <charset val="128"/>
    </font>
  </fonts>
  <fills count="40">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rgb="FFCCFFFF"/>
        <bgColor indexed="64"/>
      </patternFill>
    </fill>
    <fill>
      <patternFill patternType="solid">
        <fgColor theme="0" tint="-0.14999847407452621"/>
        <bgColor indexed="64"/>
      </patternFill>
    </fill>
    <fill>
      <patternFill patternType="solid">
        <fgColor indexed="65"/>
        <bgColor theme="0"/>
      </patternFill>
    </fill>
    <fill>
      <patternFill patternType="gray0625">
        <fgColor theme="0"/>
      </patternFill>
    </fill>
    <fill>
      <patternFill patternType="solid">
        <fgColor indexed="65"/>
        <bgColor indexed="64"/>
      </patternFill>
    </fill>
    <fill>
      <patternFill patternType="solid">
        <fgColor rgb="FFE5E5FF"/>
        <bgColor indexed="64"/>
      </patternFill>
    </fill>
    <fill>
      <patternFill patternType="solid">
        <fgColor rgb="FFE5E5FF"/>
        <bgColor indexed="45"/>
      </patternFill>
    </fill>
    <fill>
      <patternFill patternType="solid">
        <fgColor rgb="FFE0FFC1"/>
        <bgColor indexed="64"/>
      </patternFill>
    </fill>
    <fill>
      <patternFill patternType="solid">
        <fgColor rgb="FFFFFF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66"/>
        <bgColor indexed="64"/>
      </patternFill>
    </fill>
    <fill>
      <patternFill patternType="solid">
        <fgColor theme="6" tint="0.79998168889431442"/>
        <bgColor indexed="64"/>
      </patternFill>
    </fill>
    <fill>
      <patternFill patternType="solid">
        <fgColor rgb="FFFFEBFF"/>
        <bgColor indexed="64"/>
      </patternFill>
    </fill>
    <fill>
      <patternFill patternType="solid">
        <fgColor theme="9" tint="0.79998168889431442"/>
        <bgColor indexed="64"/>
      </patternFill>
    </fill>
    <fill>
      <patternFill patternType="solid">
        <fgColor rgb="FF7DBEFF"/>
        <bgColor indexed="64"/>
      </patternFill>
    </fill>
    <fill>
      <patternFill patternType="solid">
        <fgColor rgb="FFFF9900"/>
        <bgColor indexed="64"/>
      </patternFill>
    </fill>
    <fill>
      <patternFill patternType="solid">
        <fgColor rgb="FF9999FF"/>
        <bgColor indexed="64"/>
      </patternFill>
    </fill>
    <fill>
      <patternFill patternType="solid">
        <fgColor rgb="FFFFFFCC"/>
        <bgColor theme="0"/>
      </patternFill>
    </fill>
    <fill>
      <patternFill patternType="solid">
        <fgColor rgb="FFFFCCFF"/>
        <bgColor theme="0"/>
      </patternFill>
    </fill>
    <fill>
      <patternFill patternType="solid">
        <fgColor rgb="FFE5E5FF"/>
        <bgColor theme="0"/>
      </patternFill>
    </fill>
    <fill>
      <patternFill patternType="solid">
        <fgColor theme="0" tint="-0.34998626667073579"/>
        <bgColor indexed="64"/>
      </patternFill>
    </fill>
    <fill>
      <patternFill patternType="solid">
        <fgColor rgb="FF00FFCC"/>
        <bgColor indexed="64"/>
      </patternFill>
    </fill>
    <fill>
      <patternFill patternType="solid">
        <fgColor rgb="FFCCFFFF"/>
        <bgColor indexed="45"/>
      </patternFill>
    </fill>
    <fill>
      <patternFill patternType="solid">
        <fgColor theme="8"/>
        <bgColor indexed="64"/>
      </patternFill>
    </fill>
    <fill>
      <patternFill patternType="solid">
        <fgColor indexed="27"/>
        <bgColor indexed="64"/>
      </patternFill>
    </fill>
    <fill>
      <patternFill patternType="solid">
        <fgColor rgb="FFCCFFFF"/>
        <bgColor rgb="FFCCFFFF"/>
      </patternFill>
    </fill>
    <fill>
      <patternFill patternType="solid">
        <fgColor rgb="FFCCFFFF"/>
        <bgColor theme="0"/>
      </patternFill>
    </fill>
    <fill>
      <patternFill patternType="solid">
        <fgColor rgb="FFFFCCFF"/>
        <bgColor indexed="64"/>
      </patternFill>
    </fill>
    <fill>
      <patternFill patternType="solid">
        <fgColor theme="0" tint="-0.14999847407452621"/>
        <bgColor theme="0"/>
      </patternFill>
    </fill>
    <fill>
      <patternFill patternType="solid">
        <fgColor rgb="FFCCFFCC"/>
        <bgColor indexed="45"/>
      </patternFill>
    </fill>
    <fill>
      <patternFill patternType="solid">
        <fgColor theme="1" tint="0.499984740745262"/>
        <bgColor indexed="64"/>
      </patternFill>
    </fill>
    <fill>
      <patternFill patternType="solid">
        <fgColor theme="0" tint="-0.249977111117893"/>
        <bgColor indexed="64"/>
      </patternFill>
    </fill>
    <fill>
      <patternFill patternType="solid">
        <fgColor indexed="42"/>
        <bgColor indexed="64"/>
      </patternFill>
    </fill>
    <fill>
      <patternFill patternType="solid">
        <fgColor theme="0" tint="-0.14996795556505021"/>
        <bgColor indexed="64"/>
      </patternFill>
    </fill>
  </fills>
  <borders count="172">
    <border>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bottom style="medium">
        <color indexed="64"/>
      </bottom>
      <diagonal/>
    </border>
    <border>
      <left style="medium">
        <color indexed="64"/>
      </left>
      <right/>
      <top/>
      <bottom/>
      <diagonal/>
    </border>
    <border>
      <left style="hair">
        <color indexed="64"/>
      </left>
      <right/>
      <top/>
      <bottom/>
      <diagonal/>
    </border>
    <border>
      <left style="hair">
        <color indexed="64"/>
      </left>
      <right/>
      <top style="hair">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right/>
      <top style="hair">
        <color indexed="64"/>
      </top>
      <bottom/>
      <diagonal/>
    </border>
    <border>
      <left/>
      <right/>
      <top style="medium">
        <color indexed="64"/>
      </top>
      <bottom style="hair">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medium">
        <color indexed="64"/>
      </bottom>
      <diagonal/>
    </border>
    <border>
      <left/>
      <right style="thin">
        <color indexed="64"/>
      </right>
      <top/>
      <bottom/>
      <diagonal/>
    </border>
    <border>
      <left/>
      <right/>
      <top style="medium">
        <color indexed="64"/>
      </top>
      <bottom style="medium">
        <color indexed="64"/>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hair">
        <color indexed="64"/>
      </bottom>
      <diagonal/>
    </border>
    <border>
      <left/>
      <right/>
      <top style="thin">
        <color indexed="64"/>
      </top>
      <bottom style="thin">
        <color indexed="64"/>
      </bottom>
      <diagonal/>
    </border>
    <border>
      <left/>
      <right/>
      <top style="hair">
        <color indexed="64"/>
      </top>
      <bottom style="hair">
        <color indexed="64"/>
      </bottom>
      <diagonal/>
    </border>
    <border>
      <left/>
      <right style="thin">
        <color indexed="64"/>
      </right>
      <top/>
      <bottom style="hair">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hair">
        <color indexed="64"/>
      </left>
      <right style="hair">
        <color indexed="64"/>
      </right>
      <top/>
      <bottom style="thin">
        <color indexed="64"/>
      </bottom>
      <diagonal/>
    </border>
    <border>
      <left style="thin">
        <color indexed="64"/>
      </left>
      <right/>
      <top/>
      <bottom style="thin">
        <color indexed="64"/>
      </bottom>
      <diagonal/>
    </border>
    <border>
      <left/>
      <right style="hair">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hair">
        <color indexed="64"/>
      </left>
      <right/>
      <top/>
      <bottom style="hair">
        <color indexed="64"/>
      </bottom>
      <diagonal/>
    </border>
    <border>
      <left/>
      <right style="thin">
        <color indexed="64"/>
      </right>
      <top style="medium">
        <color indexed="64"/>
      </top>
      <bottom/>
      <diagonal/>
    </border>
    <border>
      <left/>
      <right style="hair">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style="thin">
        <color theme="1"/>
      </right>
      <top/>
      <bottom style="thin">
        <color theme="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medium">
        <color indexed="64"/>
      </bottom>
      <diagonal/>
    </border>
    <border>
      <left style="dotted">
        <color indexed="64"/>
      </left>
      <right/>
      <top/>
      <bottom/>
      <diagonal/>
    </border>
    <border>
      <left/>
      <right style="double">
        <color indexed="64"/>
      </right>
      <top style="thin">
        <color indexed="64"/>
      </top>
      <bottom/>
      <diagonal/>
    </border>
    <border>
      <left/>
      <right style="double">
        <color indexed="64"/>
      </right>
      <top/>
      <bottom/>
      <diagonal/>
    </border>
    <border>
      <left style="thin">
        <color indexed="64"/>
      </left>
      <right/>
      <top style="thin">
        <color theme="1"/>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medium">
        <color indexed="64"/>
      </top>
      <bottom/>
      <diagonal/>
    </border>
    <border>
      <left style="hair">
        <color indexed="64"/>
      </left>
      <right/>
      <top/>
      <bottom style="thin">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s>
  <cellStyleXfs count="8">
    <xf numFmtId="0" fontId="0" fillId="0" borderId="0">
      <alignment vertical="center"/>
    </xf>
    <xf numFmtId="0" fontId="2" fillId="0" borderId="0">
      <alignment vertical="center"/>
    </xf>
    <xf numFmtId="0" fontId="2" fillId="0" borderId="0">
      <alignment vertical="center"/>
    </xf>
    <xf numFmtId="38" fontId="14" fillId="0" borderId="0" applyFont="0" applyFill="0" applyBorder="0" applyAlignment="0" applyProtection="0">
      <alignment vertical="center"/>
    </xf>
    <xf numFmtId="0" fontId="4" fillId="0" borderId="0"/>
    <xf numFmtId="38" fontId="4" fillId="0" borderId="0" applyFont="0" applyFill="0" applyBorder="0" applyAlignment="0" applyProtection="0"/>
    <xf numFmtId="0" fontId="1" fillId="0" borderId="0">
      <alignment vertical="center"/>
    </xf>
    <xf numFmtId="0" fontId="1" fillId="0" borderId="0">
      <alignment vertical="center"/>
    </xf>
  </cellStyleXfs>
  <cellXfs count="1974">
    <xf numFmtId="0" fontId="0" fillId="0" borderId="0" xfId="0">
      <alignment vertical="center"/>
    </xf>
    <xf numFmtId="0" fontId="21" fillId="0" borderId="0" xfId="2" applyFont="1" applyProtection="1">
      <alignment vertical="center"/>
      <protection locked="0"/>
    </xf>
    <xf numFmtId="0" fontId="4" fillId="0" borderId="0" xfId="2" applyFont="1" applyProtection="1">
      <alignment vertical="center"/>
      <protection locked="0"/>
    </xf>
    <xf numFmtId="0" fontId="7"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21" fillId="0" borderId="0" xfId="1" applyFont="1" applyProtection="1">
      <alignment vertical="center"/>
      <protection locked="0"/>
    </xf>
    <xf numFmtId="0" fontId="21" fillId="3" borderId="0" xfId="2" applyFont="1" applyFill="1" applyProtection="1">
      <alignment vertical="center"/>
      <protection locked="0"/>
    </xf>
    <xf numFmtId="0" fontId="21" fillId="7" borderId="0" xfId="2" applyFont="1" applyFill="1" applyProtection="1">
      <alignment vertical="center"/>
      <protection locked="0"/>
    </xf>
    <xf numFmtId="0" fontId="21" fillId="9" borderId="0" xfId="2" applyFont="1" applyFill="1" applyProtection="1">
      <alignment vertical="center"/>
      <protection locked="0"/>
    </xf>
    <xf numFmtId="0" fontId="22" fillId="9" borderId="0" xfId="2" applyFont="1" applyFill="1" applyProtection="1">
      <alignment vertical="center"/>
      <protection locked="0"/>
    </xf>
    <xf numFmtId="0" fontId="26" fillId="9" borderId="0" xfId="2" quotePrefix="1" applyFont="1" applyFill="1" applyAlignment="1" applyProtection="1">
      <alignment horizontal="center" vertical="center"/>
      <protection locked="0"/>
    </xf>
    <xf numFmtId="0" fontId="25" fillId="9" borderId="0" xfId="2" applyFont="1" applyFill="1" applyProtection="1">
      <alignment vertical="center"/>
      <protection locked="0"/>
    </xf>
    <xf numFmtId="0" fontId="26" fillId="9" borderId="0" xfId="2" applyFont="1" applyFill="1" applyProtection="1">
      <alignment vertical="center"/>
      <protection locked="0"/>
    </xf>
    <xf numFmtId="0" fontId="26" fillId="9" borderId="0" xfId="2" applyFont="1" applyFill="1" applyAlignment="1" applyProtection="1">
      <alignment vertical="top" wrapText="1"/>
      <protection locked="0"/>
    </xf>
    <xf numFmtId="0" fontId="26" fillId="9" borderId="0" xfId="2" applyFont="1" applyFill="1" applyAlignment="1" applyProtection="1">
      <alignment vertical="center" wrapText="1"/>
      <protection locked="0"/>
    </xf>
    <xf numFmtId="0" fontId="12" fillId="9" borderId="0" xfId="2" applyFont="1" applyFill="1" applyProtection="1">
      <alignment vertical="center"/>
      <protection locked="0"/>
    </xf>
    <xf numFmtId="0" fontId="7" fillId="9" borderId="0" xfId="2" applyFont="1" applyFill="1" applyProtection="1">
      <alignment vertical="center"/>
      <protection locked="0"/>
    </xf>
    <xf numFmtId="0" fontId="34" fillId="9" borderId="0" xfId="2" applyFont="1" applyFill="1" applyProtection="1">
      <alignment vertical="center"/>
      <protection locked="0"/>
    </xf>
    <xf numFmtId="0" fontId="22" fillId="9" borderId="0" xfId="2" applyFont="1" applyFill="1" applyAlignment="1" applyProtection="1">
      <alignment horizontal="left" vertical="center"/>
      <protection locked="0"/>
    </xf>
    <xf numFmtId="0" fontId="22" fillId="9" borderId="49" xfId="2" applyFont="1" applyFill="1" applyBorder="1" applyAlignment="1" applyProtection="1">
      <alignment horizontal="right" vertical="center"/>
      <protection locked="0"/>
    </xf>
    <xf numFmtId="0" fontId="22" fillId="9" borderId="22" xfId="2" applyFont="1" applyFill="1" applyBorder="1" applyAlignment="1" applyProtection="1">
      <alignment horizontal="right" vertical="center"/>
      <protection locked="0"/>
    </xf>
    <xf numFmtId="0" fontId="37" fillId="9" borderId="0" xfId="2" applyFont="1" applyFill="1" applyAlignment="1" applyProtection="1">
      <alignment horizontal="right" vertical="center"/>
      <protection locked="0"/>
    </xf>
    <xf numFmtId="176" fontId="31" fillId="9" borderId="0" xfId="2" applyNumberFormat="1" applyFont="1" applyFill="1" applyAlignment="1" applyProtection="1">
      <alignment horizontal="center" vertical="center"/>
      <protection locked="0"/>
    </xf>
    <xf numFmtId="0" fontId="21" fillId="9" borderId="0" xfId="2" applyFont="1" applyFill="1" applyAlignment="1" applyProtection="1">
      <alignment horizontal="right" vertical="center"/>
      <protection locked="0"/>
    </xf>
    <xf numFmtId="0" fontId="34" fillId="9" borderId="0" xfId="2" applyFont="1" applyFill="1" applyAlignment="1" applyProtection="1">
      <alignment horizontal="right" vertical="center"/>
      <protection locked="0"/>
    </xf>
    <xf numFmtId="0" fontId="28" fillId="9" borderId="0" xfId="2" applyFont="1" applyFill="1" applyAlignment="1" applyProtection="1">
      <alignment horizontal="center" vertical="top" shrinkToFit="1"/>
      <protection locked="0"/>
    </xf>
    <xf numFmtId="3" fontId="28" fillId="9" borderId="0" xfId="2" quotePrefix="1" applyNumberFormat="1" applyFont="1" applyFill="1" applyAlignment="1" applyProtection="1">
      <alignment horizontal="center" vertical="top"/>
      <protection locked="0"/>
    </xf>
    <xf numFmtId="0" fontId="22" fillId="9" borderId="0" xfId="2" applyFont="1" applyFill="1" applyAlignment="1" applyProtection="1">
      <alignment horizontal="right" vertical="center"/>
      <protection locked="0"/>
    </xf>
    <xf numFmtId="0" fontId="31" fillId="9" borderId="0" xfId="2" applyFont="1" applyFill="1" applyAlignment="1" applyProtection="1">
      <alignment vertical="top" wrapText="1"/>
      <protection locked="0"/>
    </xf>
    <xf numFmtId="0" fontId="27" fillId="9" borderId="0" xfId="2" applyFont="1" applyFill="1" applyProtection="1">
      <alignment vertical="center"/>
      <protection locked="0"/>
    </xf>
    <xf numFmtId="0" fontId="27" fillId="9" borderId="0" xfId="2" quotePrefix="1" applyFont="1" applyFill="1" applyAlignment="1" applyProtection="1">
      <alignment horizontal="center" vertical="center"/>
      <protection locked="0"/>
    </xf>
    <xf numFmtId="0" fontId="27" fillId="9" borderId="0" xfId="0" applyFont="1" applyFill="1" applyProtection="1">
      <alignment vertical="center"/>
      <protection locked="0"/>
    </xf>
    <xf numFmtId="38" fontId="27" fillId="9" borderId="0" xfId="3" applyFont="1" applyFill="1" applyAlignment="1" applyProtection="1">
      <alignment horizontal="right"/>
      <protection locked="0"/>
    </xf>
    <xf numFmtId="178" fontId="27" fillId="9" borderId="0" xfId="3" applyNumberFormat="1" applyFont="1" applyFill="1" applyAlignment="1" applyProtection="1">
      <alignment horizontal="right" vertical="center"/>
      <protection locked="0"/>
    </xf>
    <xf numFmtId="0" fontId="22" fillId="5" borderId="88" xfId="2" applyFont="1" applyFill="1" applyBorder="1" applyAlignment="1" applyProtection="1">
      <alignment vertical="center" shrinkToFit="1"/>
      <protection locked="0"/>
    </xf>
    <xf numFmtId="0" fontId="22" fillId="9" borderId="5" xfId="2" quotePrefix="1" applyFont="1" applyFill="1" applyBorder="1" applyAlignment="1" applyProtection="1">
      <alignment horizontal="center" vertical="center"/>
      <protection locked="0"/>
    </xf>
    <xf numFmtId="0" fontId="36" fillId="9" borderId="0" xfId="0" applyFont="1" applyFill="1" applyProtection="1">
      <alignment vertical="center"/>
      <protection locked="0"/>
    </xf>
    <xf numFmtId="0" fontId="20" fillId="0" borderId="0" xfId="2" applyFont="1" applyAlignment="1" applyProtection="1">
      <alignment horizontal="left" vertical="center"/>
      <protection locked="0"/>
    </xf>
    <xf numFmtId="0" fontId="4" fillId="8" borderId="0" xfId="2" applyFont="1" applyFill="1" applyProtection="1">
      <alignment vertical="center"/>
      <protection locked="0"/>
    </xf>
    <xf numFmtId="177" fontId="32" fillId="6" borderId="0" xfId="2" applyNumberFormat="1" applyFont="1" applyFill="1" applyAlignment="1" applyProtection="1">
      <alignment horizontal="left" vertical="top" shrinkToFit="1"/>
      <protection locked="0"/>
    </xf>
    <xf numFmtId="0" fontId="22" fillId="9" borderId="0" xfId="2" applyFont="1" applyFill="1" applyAlignment="1" applyProtection="1">
      <alignment horizontal="center" vertical="center"/>
      <protection locked="0"/>
    </xf>
    <xf numFmtId="0" fontId="2" fillId="8" borderId="0" xfId="2" applyFill="1" applyProtection="1">
      <alignment vertical="center"/>
      <protection locked="0"/>
    </xf>
    <xf numFmtId="0" fontId="28" fillId="9" borderId="0" xfId="2" applyFont="1" applyFill="1" applyAlignment="1" applyProtection="1">
      <alignment vertical="top" wrapText="1" shrinkToFit="1"/>
      <protection locked="0"/>
    </xf>
    <xf numFmtId="0" fontId="32" fillId="8" borderId="0" xfId="2" applyFont="1" applyFill="1" applyAlignment="1" applyProtection="1">
      <alignment horizontal="left" vertical="top" wrapText="1"/>
      <protection locked="0"/>
    </xf>
    <xf numFmtId="0" fontId="27" fillId="15" borderId="52" xfId="0" applyFont="1" applyFill="1" applyBorder="1" applyAlignment="1" applyProtection="1">
      <alignment vertical="center" shrinkToFit="1"/>
      <protection locked="0"/>
    </xf>
    <xf numFmtId="0" fontId="27" fillId="15" borderId="54" xfId="0" applyFont="1" applyFill="1" applyBorder="1" applyAlignment="1" applyProtection="1">
      <alignment vertical="center" shrinkToFit="1"/>
      <protection locked="0"/>
    </xf>
    <xf numFmtId="0" fontId="27" fillId="14" borderId="52" xfId="0" applyFont="1" applyFill="1" applyBorder="1" applyAlignment="1" applyProtection="1">
      <alignment vertical="center" shrinkToFit="1"/>
      <protection locked="0"/>
    </xf>
    <xf numFmtId="0" fontId="27" fillId="14" borderId="54" xfId="0" applyFont="1" applyFill="1" applyBorder="1" applyAlignment="1" applyProtection="1">
      <alignment vertical="center" shrinkToFit="1"/>
      <protection locked="0"/>
    </xf>
    <xf numFmtId="0" fontId="12" fillId="8" borderId="0" xfId="2" applyFont="1" applyFill="1" applyProtection="1">
      <alignment vertical="center"/>
      <protection locked="0"/>
    </xf>
    <xf numFmtId="0" fontId="34" fillId="9" borderId="5" xfId="2" applyFont="1" applyFill="1" applyBorder="1" applyAlignment="1" applyProtection="1">
      <alignment horizontal="right" vertical="center"/>
      <protection locked="0"/>
    </xf>
    <xf numFmtId="0" fontId="31" fillId="7" borderId="0" xfId="2" applyFont="1" applyFill="1" applyAlignment="1" applyProtection="1">
      <alignment vertical="center" shrinkToFit="1"/>
      <protection locked="0"/>
    </xf>
    <xf numFmtId="0" fontId="31" fillId="8" borderId="0" xfId="2" applyFont="1" applyFill="1" applyProtection="1">
      <alignment vertical="center"/>
      <protection locked="0"/>
    </xf>
    <xf numFmtId="0" fontId="21" fillId="8" borderId="0" xfId="2" applyFont="1" applyFill="1" applyProtection="1">
      <alignment vertical="center"/>
      <protection locked="0"/>
    </xf>
    <xf numFmtId="0" fontId="21" fillId="8" borderId="103" xfId="2" applyFont="1" applyFill="1" applyBorder="1" applyProtection="1">
      <alignment vertical="center"/>
      <protection locked="0"/>
    </xf>
    <xf numFmtId="0" fontId="31" fillId="8" borderId="103" xfId="2" applyFont="1" applyFill="1" applyBorder="1" applyAlignment="1" applyProtection="1">
      <alignment vertical="center" wrapText="1"/>
      <protection locked="0"/>
    </xf>
    <xf numFmtId="0" fontId="4" fillId="8" borderId="103" xfId="2" applyFont="1" applyFill="1" applyBorder="1" applyProtection="1">
      <alignment vertical="center"/>
      <protection locked="0"/>
    </xf>
    <xf numFmtId="0" fontId="21" fillId="8" borderId="104" xfId="2" applyFont="1" applyFill="1" applyBorder="1" applyProtection="1">
      <alignment vertical="center"/>
      <protection locked="0"/>
    </xf>
    <xf numFmtId="0" fontId="22" fillId="0" borderId="30" xfId="2" applyFont="1" applyBorder="1" applyAlignment="1" applyProtection="1">
      <alignment vertical="center" wrapText="1"/>
      <protection locked="0"/>
    </xf>
    <xf numFmtId="0" fontId="22" fillId="0" borderId="0" xfId="2" applyFont="1" applyAlignment="1" applyProtection="1">
      <alignment vertical="center" wrapText="1"/>
      <protection locked="0"/>
    </xf>
    <xf numFmtId="0" fontId="4" fillId="8" borderId="105" xfId="2" applyFont="1" applyFill="1" applyBorder="1" applyProtection="1">
      <alignment vertical="center"/>
      <protection locked="0"/>
    </xf>
    <xf numFmtId="0" fontId="22" fillId="8" borderId="105" xfId="2" applyFont="1" applyFill="1" applyBorder="1" applyAlignment="1" applyProtection="1">
      <alignment vertical="center" wrapText="1"/>
      <protection locked="0"/>
    </xf>
    <xf numFmtId="0" fontId="22" fillId="8" borderId="106" xfId="2" applyFont="1" applyFill="1" applyBorder="1" applyAlignment="1" applyProtection="1">
      <alignment vertical="center" wrapText="1"/>
      <protection locked="0"/>
    </xf>
    <xf numFmtId="0" fontId="32" fillId="8" borderId="0" xfId="2" applyFont="1" applyFill="1" applyAlignment="1" applyProtection="1">
      <alignment vertical="top" wrapText="1"/>
      <protection locked="0"/>
    </xf>
    <xf numFmtId="38" fontId="31" fillId="8" borderId="72" xfId="3" applyFont="1" applyFill="1" applyBorder="1" applyAlignment="1" applyProtection="1">
      <alignment vertical="center" wrapText="1"/>
      <protection locked="0"/>
    </xf>
    <xf numFmtId="38" fontId="21" fillId="0" borderId="103" xfId="3" applyFont="1" applyFill="1" applyBorder="1" applyAlignment="1" applyProtection="1">
      <alignment vertical="center" wrapText="1"/>
      <protection locked="0"/>
    </xf>
    <xf numFmtId="38" fontId="21" fillId="0" borderId="110" xfId="3" applyFont="1" applyFill="1" applyBorder="1" applyAlignment="1" applyProtection="1">
      <alignment vertical="center" wrapText="1"/>
      <protection locked="0"/>
    </xf>
    <xf numFmtId="38" fontId="21" fillId="8" borderId="98" xfId="3" applyFont="1" applyFill="1" applyBorder="1" applyAlignment="1" applyProtection="1">
      <alignment vertical="center" wrapText="1"/>
      <protection locked="0"/>
    </xf>
    <xf numFmtId="38" fontId="21" fillId="0" borderId="111" xfId="3" applyFont="1" applyFill="1" applyBorder="1" applyAlignment="1" applyProtection="1">
      <alignment vertical="center" wrapText="1"/>
      <protection locked="0"/>
    </xf>
    <xf numFmtId="38" fontId="21" fillId="0" borderId="115" xfId="3" applyFont="1" applyFill="1" applyBorder="1" applyAlignment="1" applyProtection="1">
      <alignment vertical="center" wrapText="1"/>
      <protection locked="0"/>
    </xf>
    <xf numFmtId="0" fontId="11" fillId="8" borderId="0" xfId="2" applyFont="1" applyFill="1" applyProtection="1">
      <alignment vertical="center"/>
      <protection locked="0"/>
    </xf>
    <xf numFmtId="0" fontId="45" fillId="9" borderId="0" xfId="2" applyFont="1" applyFill="1" applyAlignment="1" applyProtection="1">
      <alignment vertical="top"/>
      <protection locked="0"/>
    </xf>
    <xf numFmtId="0" fontId="44" fillId="9" borderId="0" xfId="2" quotePrefix="1" applyFont="1" applyFill="1" applyAlignment="1" applyProtection="1">
      <alignment horizontal="right" vertical="top"/>
      <protection locked="0"/>
    </xf>
    <xf numFmtId="0" fontId="44" fillId="9" borderId="0" xfId="2" applyFont="1" applyFill="1" applyAlignment="1" applyProtection="1">
      <alignment vertical="top" wrapText="1"/>
      <protection locked="0"/>
    </xf>
    <xf numFmtId="0" fontId="28" fillId="9" borderId="100" xfId="2" applyFont="1" applyFill="1" applyBorder="1" applyAlignment="1" applyProtection="1">
      <alignment horizontal="right"/>
      <protection locked="0"/>
    </xf>
    <xf numFmtId="177" fontId="28" fillId="9" borderId="43" xfId="2" applyNumberFormat="1" applyFont="1" applyFill="1" applyBorder="1" applyProtection="1">
      <alignment vertical="center"/>
      <protection locked="0"/>
    </xf>
    <xf numFmtId="177" fontId="28" fillId="9" borderId="53" xfId="2" applyNumberFormat="1" applyFont="1" applyFill="1" applyBorder="1" applyProtection="1">
      <alignment vertical="center"/>
      <protection locked="0"/>
    </xf>
    <xf numFmtId="177" fontId="28" fillId="9" borderId="55" xfId="2" applyNumberFormat="1" applyFont="1" applyFill="1" applyBorder="1" applyProtection="1">
      <alignment vertical="center"/>
      <protection locked="0"/>
    </xf>
    <xf numFmtId="177" fontId="28" fillId="9" borderId="35" xfId="2" applyNumberFormat="1" applyFont="1" applyFill="1" applyBorder="1" applyProtection="1">
      <alignment vertical="center"/>
      <protection locked="0"/>
    </xf>
    <xf numFmtId="177" fontId="28" fillId="9" borderId="26" xfId="2" applyNumberFormat="1" applyFont="1" applyFill="1" applyBorder="1" applyProtection="1">
      <alignment vertical="center"/>
      <protection locked="0"/>
    </xf>
    <xf numFmtId="177" fontId="28" fillId="9" borderId="38" xfId="2" applyNumberFormat="1" applyFont="1" applyFill="1" applyBorder="1" applyProtection="1">
      <alignment vertical="center"/>
      <protection locked="0"/>
    </xf>
    <xf numFmtId="177" fontId="28" fillId="9" borderId="54" xfId="2" applyNumberFormat="1" applyFont="1" applyFill="1" applyBorder="1" applyProtection="1">
      <alignment vertical="center"/>
      <protection locked="0"/>
    </xf>
    <xf numFmtId="177" fontId="28" fillId="9" borderId="39" xfId="2" applyNumberFormat="1" applyFont="1" applyFill="1" applyBorder="1" applyProtection="1">
      <alignment vertical="center"/>
      <protection locked="0"/>
    </xf>
    <xf numFmtId="177" fontId="28" fillId="9" borderId="20" xfId="2" applyNumberFormat="1" applyFont="1" applyFill="1" applyBorder="1" applyProtection="1">
      <alignment vertical="center"/>
      <protection locked="0"/>
    </xf>
    <xf numFmtId="177" fontId="28" fillId="9" borderId="34" xfId="2" applyNumberFormat="1" applyFont="1" applyFill="1" applyBorder="1" applyProtection="1">
      <alignment vertical="center"/>
      <protection locked="0"/>
    </xf>
    <xf numFmtId="0" fontId="27" fillId="9" borderId="16" xfId="0" applyFont="1" applyFill="1" applyBorder="1" applyAlignment="1" applyProtection="1">
      <alignment vertical="center" textRotation="255"/>
      <protection locked="0"/>
    </xf>
    <xf numFmtId="0" fontId="27" fillId="9" borderId="17" xfId="0" applyFont="1" applyFill="1" applyBorder="1" applyAlignment="1" applyProtection="1">
      <alignment vertical="center" textRotation="255"/>
      <protection locked="0"/>
    </xf>
    <xf numFmtId="177" fontId="28" fillId="9" borderId="17" xfId="2" applyNumberFormat="1" applyFont="1" applyFill="1" applyBorder="1" applyProtection="1">
      <alignment vertical="center"/>
      <protection locked="0"/>
    </xf>
    <xf numFmtId="177" fontId="28" fillId="9" borderId="15" xfId="2" applyNumberFormat="1" applyFont="1" applyFill="1" applyBorder="1" applyProtection="1">
      <alignment vertical="center"/>
      <protection locked="0"/>
    </xf>
    <xf numFmtId="177" fontId="28" fillId="9" borderId="86" xfId="2" applyNumberFormat="1" applyFont="1" applyFill="1" applyBorder="1" applyProtection="1">
      <alignment vertical="center"/>
      <protection locked="0"/>
    </xf>
    <xf numFmtId="177" fontId="28" fillId="9" borderId="85" xfId="2" applyNumberFormat="1" applyFont="1" applyFill="1" applyBorder="1" applyProtection="1">
      <alignment vertical="center"/>
      <protection locked="0"/>
    </xf>
    <xf numFmtId="0" fontId="43" fillId="9" borderId="0" xfId="2" applyFont="1" applyFill="1" applyAlignment="1" applyProtection="1">
      <alignment vertical="top" wrapText="1"/>
      <protection locked="0"/>
    </xf>
    <xf numFmtId="178" fontId="27" fillId="9" borderId="0" xfId="0" applyNumberFormat="1" applyFont="1" applyFill="1" applyProtection="1">
      <alignment vertical="center"/>
      <protection locked="0"/>
    </xf>
    <xf numFmtId="0" fontId="19" fillId="9" borderId="0" xfId="2" applyFont="1" applyFill="1" applyAlignment="1" applyProtection="1">
      <alignment vertical="top" wrapText="1"/>
      <protection locked="0"/>
    </xf>
    <xf numFmtId="0" fontId="7" fillId="4" borderId="71" xfId="0" applyFont="1" applyFill="1" applyBorder="1" applyAlignment="1">
      <alignment vertical="center" wrapText="1"/>
    </xf>
    <xf numFmtId="0" fontId="10" fillId="0" borderId="0" xfId="0" applyFont="1" applyAlignment="1">
      <alignment vertical="center" wrapText="1"/>
    </xf>
    <xf numFmtId="0" fontId="7" fillId="11" borderId="63" xfId="0" applyFont="1" applyFill="1" applyBorder="1" applyAlignment="1">
      <alignment horizontal="center" vertical="center" wrapText="1"/>
    </xf>
    <xf numFmtId="0" fontId="13" fillId="19" borderId="47" xfId="0" applyFont="1" applyFill="1" applyBorder="1" applyAlignment="1">
      <alignment horizontal="center" vertical="center" wrapText="1"/>
    </xf>
    <xf numFmtId="0" fontId="0" fillId="0" borderId="0" xfId="0" applyAlignment="1"/>
    <xf numFmtId="0" fontId="0" fillId="0" borderId="63" xfId="0" applyBorder="1" applyAlignment="1"/>
    <xf numFmtId="0" fontId="0" fillId="0" borderId="18" xfId="0" applyBorder="1" applyAlignment="1"/>
    <xf numFmtId="0" fontId="0" fillId="12" borderId="47" xfId="0" applyFill="1" applyBorder="1" applyAlignment="1"/>
    <xf numFmtId="0" fontId="0" fillId="0" borderId="47" xfId="0" applyBorder="1" applyAlignment="1"/>
    <xf numFmtId="0" fontId="7" fillId="0" borderId="47" xfId="0" applyFont="1" applyBorder="1" applyAlignment="1"/>
    <xf numFmtId="0" fontId="0" fillId="0" borderId="46" xfId="0" applyBorder="1" applyAlignment="1"/>
    <xf numFmtId="0" fontId="0" fillId="13" borderId="47" xfId="0" applyFill="1" applyBorder="1" applyAlignment="1"/>
    <xf numFmtId="0" fontId="7" fillId="13" borderId="47" xfId="0" applyFont="1" applyFill="1" applyBorder="1" applyAlignment="1"/>
    <xf numFmtId="0" fontId="0" fillId="20" borderId="47" xfId="0" applyFill="1" applyBorder="1" applyAlignment="1"/>
    <xf numFmtId="0" fontId="0" fillId="0" borderId="47" xfId="0" applyBorder="1" applyAlignment="1">
      <alignment wrapText="1"/>
    </xf>
    <xf numFmtId="0" fontId="0" fillId="21" borderId="47" xfId="0" applyFill="1" applyBorder="1" applyAlignment="1"/>
    <xf numFmtId="0" fontId="0" fillId="0" borderId="71" xfId="0" applyBorder="1" applyAlignment="1"/>
    <xf numFmtId="0" fontId="0" fillId="20" borderId="71" xfId="0" applyFill="1" applyBorder="1" applyAlignment="1"/>
    <xf numFmtId="0" fontId="7" fillId="0" borderId="46" xfId="0" applyFont="1" applyBorder="1" applyAlignment="1"/>
    <xf numFmtId="0" fontId="0" fillId="0" borderId="116" xfId="0" applyBorder="1" applyAlignment="1"/>
    <xf numFmtId="0" fontId="0" fillId="0" borderId="89" xfId="0" applyBorder="1" applyAlignment="1"/>
    <xf numFmtId="0" fontId="0" fillId="13" borderId="117" xfId="0" applyFill="1" applyBorder="1" applyAlignment="1"/>
    <xf numFmtId="0" fontId="7" fillId="13" borderId="46" xfId="0" applyFont="1" applyFill="1" applyBorder="1" applyAlignment="1"/>
    <xf numFmtId="0" fontId="0" fillId="0" borderId="102" xfId="0" applyBorder="1" applyAlignment="1"/>
    <xf numFmtId="0" fontId="0" fillId="0" borderId="21" xfId="0" applyBorder="1" applyAlignment="1"/>
    <xf numFmtId="0" fontId="0" fillId="0" borderId="118" xfId="0" applyBorder="1" applyAlignment="1"/>
    <xf numFmtId="0" fontId="0" fillId="0" borderId="117" xfId="0" applyBorder="1" applyAlignment="1"/>
    <xf numFmtId="0" fontId="0" fillId="20" borderId="21" xfId="0" applyFill="1" applyBorder="1" applyAlignment="1"/>
    <xf numFmtId="0" fontId="0" fillId="0" borderId="69" xfId="0" applyBorder="1" applyAlignment="1"/>
    <xf numFmtId="0" fontId="0" fillId="0" borderId="93" xfId="0" applyBorder="1" applyAlignment="1"/>
    <xf numFmtId="0" fontId="0" fillId="13" borderId="89" xfId="0" applyFill="1" applyBorder="1" applyAlignment="1"/>
    <xf numFmtId="0" fontId="0" fillId="0" borderId="119" xfId="0" applyBorder="1" applyAlignment="1"/>
    <xf numFmtId="0" fontId="0" fillId="20" borderId="89" xfId="0" applyFill="1" applyBorder="1" applyAlignment="1"/>
    <xf numFmtId="0" fontId="0" fillId="21" borderId="46" xfId="0" applyFill="1" applyBorder="1" applyAlignment="1"/>
    <xf numFmtId="0" fontId="6" fillId="21" borderId="47" xfId="0" applyFont="1" applyFill="1" applyBorder="1" applyAlignment="1">
      <alignment wrapText="1"/>
    </xf>
    <xf numFmtId="0" fontId="6" fillId="21" borderId="116" xfId="0" applyFont="1" applyFill="1" applyBorder="1" applyAlignment="1"/>
    <xf numFmtId="0" fontId="0" fillId="20" borderId="46" xfId="0" applyFill="1" applyBorder="1" applyAlignment="1"/>
    <xf numFmtId="0" fontId="0" fillId="22" borderId="47" xfId="0" applyFill="1" applyBorder="1" applyAlignment="1"/>
    <xf numFmtId="0" fontId="7" fillId="22" borderId="47" xfId="0" applyFont="1" applyFill="1" applyBorder="1" applyAlignment="1"/>
    <xf numFmtId="0" fontId="0" fillId="0" borderId="47" xfId="0" applyBorder="1" applyAlignment="1">
      <alignment horizontal="left" vertical="center"/>
    </xf>
    <xf numFmtId="0" fontId="0" fillId="21" borderId="47" xfId="0" applyFill="1" applyBorder="1" applyAlignment="1">
      <alignment horizontal="right" vertical="center"/>
    </xf>
    <xf numFmtId="0" fontId="0" fillId="21" borderId="47" xfId="0" applyFill="1" applyBorder="1" applyAlignment="1">
      <alignment horizontal="left" vertical="center" wrapText="1"/>
    </xf>
    <xf numFmtId="0" fontId="7" fillId="0" borderId="47" xfId="0" applyFont="1" applyBorder="1" applyAlignment="1">
      <alignment horizontal="left" vertical="center"/>
    </xf>
    <xf numFmtId="0" fontId="0" fillId="21" borderId="47" xfId="0" applyFill="1" applyBorder="1" applyAlignment="1">
      <alignment horizontal="left" vertical="center"/>
    </xf>
    <xf numFmtId="0" fontId="7" fillId="18" borderId="71" xfId="0" applyFont="1" applyFill="1" applyBorder="1" applyAlignment="1">
      <alignment vertical="center" wrapText="1"/>
    </xf>
    <xf numFmtId="0" fontId="9" fillId="4" borderId="71" xfId="0" applyFont="1" applyFill="1" applyBorder="1" applyAlignment="1">
      <alignment vertical="center" wrapText="1"/>
    </xf>
    <xf numFmtId="0" fontId="7" fillId="4" borderId="28" xfId="0" applyFont="1" applyFill="1" applyBorder="1" applyAlignment="1">
      <alignment vertical="center" wrapText="1"/>
    </xf>
    <xf numFmtId="38" fontId="7" fillId="0" borderId="20" xfId="5" applyFont="1" applyFill="1" applyBorder="1" applyAlignment="1">
      <alignment vertical="center" wrapText="1"/>
    </xf>
    <xf numFmtId="0" fontId="7" fillId="0" borderId="71" xfId="0" applyFont="1" applyBorder="1" applyAlignment="1">
      <alignment vertical="center" wrapText="1"/>
    </xf>
    <xf numFmtId="0" fontId="7" fillId="0" borderId="63" xfId="3" applyNumberFormat="1" applyFont="1" applyBorder="1" applyAlignment="1"/>
    <xf numFmtId="0" fontId="7" fillId="17" borderId="18" xfId="3" applyNumberFormat="1" applyFont="1" applyFill="1" applyBorder="1" applyAlignment="1">
      <alignment horizontal="center" vertical="center" wrapText="1"/>
    </xf>
    <xf numFmtId="0" fontId="7" fillId="0" borderId="47" xfId="3" applyNumberFormat="1" applyFont="1" applyBorder="1" applyAlignment="1"/>
    <xf numFmtId="0" fontId="0" fillId="0" borderId="0" xfId="3" applyNumberFormat="1" applyFont="1">
      <alignment vertical="center"/>
    </xf>
    <xf numFmtId="0" fontId="52" fillId="18" borderId="71" xfId="0" applyFont="1" applyFill="1" applyBorder="1" applyAlignment="1">
      <alignment vertical="center" wrapText="1"/>
    </xf>
    <xf numFmtId="0" fontId="7" fillId="0" borderId="28" xfId="0" applyFont="1" applyBorder="1" applyAlignment="1">
      <alignment vertical="center" wrapText="1"/>
    </xf>
    <xf numFmtId="0" fontId="6" fillId="13" borderId="47" xfId="0" applyFont="1" applyFill="1" applyBorder="1" applyAlignment="1"/>
    <xf numFmtId="178" fontId="23" fillId="9" borderId="30" xfId="3" applyNumberFormat="1" applyFont="1" applyFill="1" applyBorder="1" applyAlignment="1" applyProtection="1">
      <alignment horizontal="right" vertical="center"/>
      <protection locked="0"/>
    </xf>
    <xf numFmtId="0" fontId="29" fillId="9" borderId="0" xfId="2" applyFont="1" applyFill="1" applyProtection="1">
      <alignment vertical="center"/>
      <protection locked="0"/>
    </xf>
    <xf numFmtId="0" fontId="4" fillId="0" borderId="0" xfId="2" applyFont="1" applyAlignment="1" applyProtection="1">
      <alignment horizontal="left" vertical="center"/>
      <protection locked="0"/>
    </xf>
    <xf numFmtId="0" fontId="53" fillId="9" borderId="0" xfId="2" applyFont="1" applyFill="1" applyAlignment="1" applyProtection="1">
      <alignment vertical="top" wrapText="1"/>
      <protection locked="0"/>
    </xf>
    <xf numFmtId="0" fontId="54" fillId="9" borderId="0" xfId="2" applyFont="1" applyFill="1" applyAlignment="1" applyProtection="1">
      <alignment horizontal="right" vertical="center"/>
      <protection locked="0"/>
    </xf>
    <xf numFmtId="0" fontId="29" fillId="9" borderId="0" xfId="0" applyFont="1" applyFill="1" applyAlignment="1" applyProtection="1">
      <alignment horizontal="left" vertical="top" wrapText="1"/>
      <protection locked="0"/>
    </xf>
    <xf numFmtId="0" fontId="44" fillId="9" borderId="0" xfId="2" applyFont="1" applyFill="1" applyAlignment="1" applyProtection="1">
      <alignment vertical="top"/>
      <protection locked="0"/>
    </xf>
    <xf numFmtId="0" fontId="31" fillId="9" borderId="5" xfId="2" applyFont="1" applyFill="1" applyBorder="1" applyProtection="1">
      <alignment vertical="center"/>
      <protection locked="0"/>
    </xf>
    <xf numFmtId="177" fontId="22" fillId="9" borderId="0" xfId="2" applyNumberFormat="1" applyFont="1" applyFill="1" applyAlignment="1" applyProtection="1">
      <alignment horizontal="right" vertical="center"/>
      <protection locked="0"/>
    </xf>
    <xf numFmtId="0" fontId="36" fillId="9" borderId="0" xfId="0" applyFont="1" applyFill="1" applyAlignment="1" applyProtection="1">
      <alignment horizontal="center" vertical="center" shrinkToFit="1"/>
      <protection locked="0"/>
    </xf>
    <xf numFmtId="0" fontId="36" fillId="9" borderId="0" xfId="0" applyFont="1" applyFill="1" applyAlignment="1" applyProtection="1">
      <alignment horizontal="right" vertical="center"/>
      <protection locked="0"/>
    </xf>
    <xf numFmtId="0" fontId="36" fillId="9" borderId="0" xfId="0" applyFont="1" applyFill="1" applyAlignment="1" applyProtection="1">
      <alignment vertical="center" shrinkToFit="1"/>
      <protection locked="0"/>
    </xf>
    <xf numFmtId="0" fontId="33" fillId="9" borderId="0" xfId="0" applyFont="1" applyFill="1" applyAlignment="1" applyProtection="1">
      <alignment vertical="center" wrapText="1"/>
      <protection locked="0"/>
    </xf>
    <xf numFmtId="0" fontId="22" fillId="9" borderId="0" xfId="2" applyFont="1" applyFill="1" applyAlignment="1" applyProtection="1">
      <alignment vertical="center" shrinkToFit="1"/>
      <protection locked="0"/>
    </xf>
    <xf numFmtId="177" fontId="22" fillId="9" borderId="0" xfId="2" applyNumberFormat="1" applyFont="1" applyFill="1" applyProtection="1">
      <alignment vertical="center"/>
      <protection locked="0"/>
    </xf>
    <xf numFmtId="0" fontId="29" fillId="9" borderId="0" xfId="2" applyFont="1" applyFill="1" applyAlignment="1" applyProtection="1">
      <alignment vertical="top" wrapText="1" shrinkToFit="1"/>
      <protection locked="0"/>
    </xf>
    <xf numFmtId="0" fontId="52" fillId="9" borderId="20" xfId="2" applyFont="1" applyFill="1" applyBorder="1" applyProtection="1">
      <alignment vertical="center"/>
      <protection locked="0"/>
    </xf>
    <xf numFmtId="0" fontId="52" fillId="9" borderId="21" xfId="2" applyFont="1" applyFill="1" applyBorder="1" applyProtection="1">
      <alignment vertical="center"/>
      <protection locked="0"/>
    </xf>
    <xf numFmtId="0" fontId="56" fillId="9" borderId="17" xfId="0" applyFont="1" applyFill="1" applyBorder="1" applyAlignment="1" applyProtection="1">
      <alignment horizontal="center" vertical="center"/>
      <protection locked="0"/>
    </xf>
    <xf numFmtId="0" fontId="57" fillId="9" borderId="0" xfId="0" applyFont="1" applyFill="1" applyAlignment="1" applyProtection="1">
      <alignment vertical="center" wrapText="1"/>
      <protection locked="0"/>
    </xf>
    <xf numFmtId="0" fontId="58" fillId="9" borderId="17" xfId="0" applyFont="1" applyFill="1" applyBorder="1" applyAlignment="1" applyProtection="1">
      <alignment horizontal="center" vertical="center"/>
      <protection locked="0"/>
    </xf>
    <xf numFmtId="0" fontId="33" fillId="9" borderId="49" xfId="0" applyFont="1" applyFill="1" applyBorder="1" applyAlignment="1" applyProtection="1">
      <alignment vertical="center" wrapText="1"/>
      <protection locked="0"/>
    </xf>
    <xf numFmtId="0" fontId="58" fillId="9" borderId="18" xfId="0" applyFont="1" applyFill="1" applyBorder="1" applyAlignment="1" applyProtection="1">
      <alignment horizontal="center" vertical="center"/>
      <protection locked="0"/>
    </xf>
    <xf numFmtId="176" fontId="44" fillId="9" borderId="0" xfId="2" applyNumberFormat="1" applyFont="1" applyFill="1" applyAlignment="1" applyProtection="1">
      <alignment horizontal="left" vertical="top" wrapText="1"/>
      <protection locked="0"/>
    </xf>
    <xf numFmtId="177" fontId="26" fillId="5" borderId="46" xfId="2" applyNumberFormat="1" applyFont="1" applyFill="1" applyBorder="1" applyAlignment="1" applyProtection="1">
      <alignment horizontal="center" vertical="center"/>
      <protection locked="0"/>
    </xf>
    <xf numFmtId="177" fontId="26" fillId="5" borderId="89" xfId="2" applyNumberFormat="1" applyFont="1" applyFill="1" applyBorder="1" applyAlignment="1" applyProtection="1">
      <alignment horizontal="center" vertical="center"/>
      <protection locked="0"/>
    </xf>
    <xf numFmtId="0" fontId="44" fillId="9" borderId="0" xfId="2" applyFont="1" applyFill="1" applyAlignment="1" applyProtection="1">
      <alignment vertical="center" wrapText="1"/>
      <protection locked="0"/>
    </xf>
    <xf numFmtId="0" fontId="28" fillId="9" borderId="41" xfId="2" applyFont="1" applyFill="1" applyBorder="1" applyAlignment="1" applyProtection="1">
      <alignment horizontal="right"/>
      <protection locked="0"/>
    </xf>
    <xf numFmtId="0" fontId="29" fillId="9" borderId="0" xfId="2" applyFont="1" applyFill="1" applyAlignment="1" applyProtection="1">
      <alignment vertical="top"/>
      <protection locked="0"/>
    </xf>
    <xf numFmtId="178" fontId="8" fillId="9" borderId="12" xfId="3" applyNumberFormat="1" applyFont="1" applyFill="1" applyBorder="1" applyAlignment="1" applyProtection="1">
      <alignment horizontal="right" vertical="center"/>
      <protection locked="0"/>
    </xf>
    <xf numFmtId="177" fontId="10" fillId="9" borderId="55" xfId="2" applyNumberFormat="1" applyFont="1" applyFill="1" applyBorder="1" applyProtection="1">
      <alignment vertical="center"/>
      <protection locked="0"/>
    </xf>
    <xf numFmtId="0" fontId="4" fillId="9" borderId="0" xfId="2" applyFont="1" applyFill="1" applyProtection="1">
      <alignment vertical="center"/>
      <protection locked="0"/>
    </xf>
    <xf numFmtId="176" fontId="44" fillId="9" borderId="0" xfId="2" applyNumberFormat="1" applyFont="1" applyFill="1" applyAlignment="1" applyProtection="1">
      <alignment vertical="top" wrapText="1"/>
      <protection locked="0"/>
    </xf>
    <xf numFmtId="0" fontId="29" fillId="9" borderId="0" xfId="2" quotePrefix="1" applyFont="1" applyFill="1" applyAlignment="1" applyProtection="1">
      <alignment vertical="top"/>
      <protection locked="0"/>
    </xf>
    <xf numFmtId="0" fontId="29" fillId="9" borderId="0" xfId="2" applyFont="1" applyFill="1" applyAlignment="1" applyProtection="1">
      <alignment vertical="center" shrinkToFit="1"/>
      <protection locked="0"/>
    </xf>
    <xf numFmtId="0" fontId="21" fillId="12" borderId="20" xfId="2" applyFont="1" applyFill="1" applyBorder="1" applyProtection="1">
      <alignment vertical="center"/>
      <protection locked="0"/>
    </xf>
    <xf numFmtId="0" fontId="21" fillId="12" borderId="54" xfId="2" applyFont="1" applyFill="1" applyBorder="1" applyProtection="1">
      <alignment vertical="center"/>
      <protection locked="0"/>
    </xf>
    <xf numFmtId="0" fontId="21" fillId="12" borderId="132" xfId="2" applyFont="1" applyFill="1" applyBorder="1" applyProtection="1">
      <alignment vertical="center"/>
      <protection locked="0"/>
    </xf>
    <xf numFmtId="0" fontId="28" fillId="0" borderId="54" xfId="2" applyFont="1" applyBorder="1" applyAlignment="1" applyProtection="1">
      <alignment vertical="center" wrapText="1" shrinkToFit="1"/>
      <protection locked="0"/>
    </xf>
    <xf numFmtId="0" fontId="28" fillId="0" borderId="46" xfId="2" applyFont="1" applyBorder="1" applyAlignment="1" applyProtection="1">
      <alignment vertical="center" wrapText="1" shrinkToFit="1"/>
      <protection locked="0"/>
    </xf>
    <xf numFmtId="0" fontId="28" fillId="23" borderId="101" xfId="2" applyFont="1" applyFill="1" applyBorder="1" applyAlignment="1" applyProtection="1">
      <alignment horizontal="center" vertical="center" wrapText="1"/>
      <protection locked="0"/>
    </xf>
    <xf numFmtId="0" fontId="28" fillId="6" borderId="101" xfId="2" applyFont="1" applyFill="1" applyBorder="1" applyAlignment="1" applyProtection="1">
      <alignment horizontal="center" vertical="center" wrapText="1"/>
      <protection locked="0"/>
    </xf>
    <xf numFmtId="0" fontId="28" fillId="6" borderId="16" xfId="2" applyFont="1" applyFill="1" applyBorder="1" applyAlignment="1" applyProtection="1">
      <alignment horizontal="center" vertical="center" wrapText="1"/>
      <protection locked="0"/>
    </xf>
    <xf numFmtId="0" fontId="28" fillId="24" borderId="102" xfId="2" applyFont="1" applyFill="1" applyBorder="1" applyAlignment="1" applyProtection="1">
      <alignment horizontal="center" vertical="center" wrapText="1"/>
      <protection locked="0"/>
    </xf>
    <xf numFmtId="0" fontId="23" fillId="0" borderId="16" xfId="2" applyFont="1" applyBorder="1" applyAlignment="1" applyProtection="1">
      <alignment vertical="center" shrinkToFit="1"/>
      <protection locked="0"/>
    </xf>
    <xf numFmtId="0" fontId="28" fillId="0" borderId="16" xfId="2" applyFont="1" applyBorder="1" applyAlignment="1" applyProtection="1">
      <alignment horizontal="center" vertical="center" wrapText="1"/>
      <protection locked="0"/>
    </xf>
    <xf numFmtId="0" fontId="28" fillId="0" borderId="18" xfId="2" applyFont="1" applyBorder="1" applyAlignment="1" applyProtection="1">
      <alignment horizontal="center" vertical="center" wrapText="1"/>
      <protection locked="0"/>
    </xf>
    <xf numFmtId="0" fontId="31" fillId="9" borderId="0" xfId="2" applyFont="1" applyFill="1" applyProtection="1">
      <alignment vertical="center"/>
      <protection locked="0"/>
    </xf>
    <xf numFmtId="0" fontId="36" fillId="9" borderId="5" xfId="0" applyFont="1" applyFill="1" applyBorder="1" applyProtection="1">
      <alignment vertical="center"/>
      <protection locked="0"/>
    </xf>
    <xf numFmtId="177" fontId="26" fillId="9" borderId="21" xfId="2" applyNumberFormat="1" applyFont="1" applyFill="1" applyBorder="1" applyAlignment="1" applyProtection="1">
      <alignment horizontal="right" vertical="center"/>
      <protection locked="0"/>
    </xf>
    <xf numFmtId="177" fontId="26" fillId="9" borderId="58" xfId="2" applyNumberFormat="1" applyFont="1" applyFill="1" applyBorder="1" applyAlignment="1" applyProtection="1">
      <alignment horizontal="right" vertical="center"/>
      <protection locked="0"/>
    </xf>
    <xf numFmtId="177" fontId="26" fillId="9" borderId="80" xfId="2" applyNumberFormat="1" applyFont="1" applyFill="1" applyBorder="1" applyAlignment="1" applyProtection="1">
      <alignment horizontal="right" vertical="center"/>
      <protection locked="0"/>
    </xf>
    <xf numFmtId="177" fontId="26" fillId="9" borderId="100" xfId="2" applyNumberFormat="1" applyFont="1" applyFill="1" applyBorder="1" applyAlignment="1" applyProtection="1">
      <alignment horizontal="right" vertical="center"/>
      <protection locked="0"/>
    </xf>
    <xf numFmtId="177" fontId="26" fillId="9" borderId="94" xfId="2" applyNumberFormat="1" applyFont="1" applyFill="1" applyBorder="1" applyAlignment="1" applyProtection="1">
      <alignment horizontal="right" vertical="center"/>
      <protection locked="0"/>
    </xf>
    <xf numFmtId="177" fontId="26" fillId="9" borderId="56" xfId="2" applyNumberFormat="1" applyFont="1" applyFill="1" applyBorder="1" applyAlignment="1" applyProtection="1">
      <alignment horizontal="right" vertical="center"/>
      <protection locked="0"/>
    </xf>
    <xf numFmtId="0" fontId="34" fillId="9" borderId="0" xfId="2" applyFont="1" applyFill="1" applyAlignment="1" applyProtection="1">
      <alignment horizontal="left" vertical="center"/>
      <protection locked="0"/>
    </xf>
    <xf numFmtId="0" fontId="22" fillId="9" borderId="0" xfId="2" quotePrefix="1" applyFont="1" applyFill="1" applyAlignment="1" applyProtection="1">
      <alignment horizontal="center" vertical="center"/>
      <protection locked="0"/>
    </xf>
    <xf numFmtId="0" fontId="6" fillId="9" borderId="0" xfId="2" applyFont="1" applyFill="1" applyProtection="1">
      <alignment vertical="center"/>
      <protection locked="0"/>
    </xf>
    <xf numFmtId="0" fontId="6" fillId="9" borderId="5" xfId="2" applyFont="1" applyFill="1" applyBorder="1" applyProtection="1">
      <alignment vertical="center"/>
      <protection locked="0"/>
    </xf>
    <xf numFmtId="0" fontId="18" fillId="14" borderId="28" xfId="0" applyFont="1" applyFill="1" applyBorder="1" applyAlignment="1" applyProtection="1">
      <alignment vertical="center" textRotation="255" wrapText="1" shrinkToFit="1"/>
      <protection locked="0"/>
    </xf>
    <xf numFmtId="0" fontId="18" fillId="14" borderId="20" xfId="0" applyFont="1" applyFill="1" applyBorder="1" applyAlignment="1" applyProtection="1">
      <alignment vertical="center" textRotation="255" wrapText="1" shrinkToFit="1"/>
      <protection locked="0"/>
    </xf>
    <xf numFmtId="0" fontId="18" fillId="14" borderId="17" xfId="0" applyFont="1" applyFill="1" applyBorder="1" applyAlignment="1" applyProtection="1">
      <alignment vertical="center" textRotation="255" wrapText="1" shrinkToFit="1"/>
      <protection locked="0"/>
    </xf>
    <xf numFmtId="0" fontId="18" fillId="14" borderId="67" xfId="0" applyFont="1" applyFill="1" applyBorder="1" applyAlignment="1" applyProtection="1">
      <alignment vertical="center" textRotation="255" wrapText="1" shrinkToFit="1"/>
      <protection locked="0"/>
    </xf>
    <xf numFmtId="0" fontId="17" fillId="15" borderId="67" xfId="0" applyFont="1" applyFill="1" applyBorder="1" applyAlignment="1" applyProtection="1">
      <alignment vertical="center" textRotation="255" shrinkToFit="1"/>
      <protection locked="0"/>
    </xf>
    <xf numFmtId="0" fontId="17" fillId="15" borderId="17" xfId="0" applyFont="1" applyFill="1" applyBorder="1" applyAlignment="1" applyProtection="1">
      <alignment vertical="center" textRotation="255" shrinkToFit="1"/>
      <protection locked="0"/>
    </xf>
    <xf numFmtId="0" fontId="21" fillId="9" borderId="0" xfId="1" applyFont="1" applyFill="1" applyProtection="1">
      <alignment vertical="center"/>
      <protection locked="0"/>
    </xf>
    <xf numFmtId="0" fontId="21" fillId="9" borderId="5" xfId="1" applyFont="1" applyFill="1" applyBorder="1" applyProtection="1">
      <alignment vertical="center"/>
      <protection locked="0"/>
    </xf>
    <xf numFmtId="0" fontId="9" fillId="9" borderId="0" xfId="2" applyFont="1" applyFill="1" applyProtection="1">
      <alignment vertical="center"/>
      <protection locked="0"/>
    </xf>
    <xf numFmtId="0" fontId="68" fillId="9" borderId="0" xfId="2" applyFont="1" applyFill="1" applyAlignment="1" applyProtection="1">
      <alignment horizontal="right" vertical="center"/>
      <protection locked="0"/>
    </xf>
    <xf numFmtId="0" fontId="29" fillId="9" borderId="0" xfId="2" applyFont="1" applyFill="1" applyAlignment="1" applyProtection="1">
      <alignment horizontal="left" vertical="center" wrapText="1"/>
      <protection locked="0"/>
    </xf>
    <xf numFmtId="0" fontId="40" fillId="9" borderId="0" xfId="2" applyFont="1" applyFill="1" applyProtection="1">
      <alignment vertical="center"/>
      <protection locked="0"/>
    </xf>
    <xf numFmtId="0" fontId="44" fillId="9" borderId="0" xfId="2" applyFont="1" applyFill="1" applyAlignment="1" applyProtection="1">
      <alignment horizontal="left" vertical="top"/>
      <protection locked="0"/>
    </xf>
    <xf numFmtId="0" fontId="4" fillId="0" borderId="0" xfId="2" applyFont="1">
      <alignment vertical="center"/>
    </xf>
    <xf numFmtId="0" fontId="7" fillId="0" borderId="0" xfId="2" applyFont="1">
      <alignment vertical="center"/>
    </xf>
    <xf numFmtId="0" fontId="12" fillId="0" borderId="0" xfId="2" applyFont="1">
      <alignment vertical="center"/>
    </xf>
    <xf numFmtId="0" fontId="11" fillId="0" borderId="0" xfId="2" applyFont="1">
      <alignment vertical="center"/>
    </xf>
    <xf numFmtId="0" fontId="11" fillId="8" borderId="0" xfId="2" applyFont="1" applyFill="1">
      <alignment vertical="center"/>
    </xf>
    <xf numFmtId="0" fontId="4" fillId="8" borderId="0" xfId="2" applyFont="1" applyFill="1">
      <alignment vertical="center"/>
    </xf>
    <xf numFmtId="0" fontId="4" fillId="0" borderId="0" xfId="2" applyFont="1" applyAlignment="1">
      <alignment horizontal="left" vertical="center"/>
    </xf>
    <xf numFmtId="0" fontId="21" fillId="0" borderId="0" xfId="1" applyFont="1">
      <alignment vertical="center"/>
    </xf>
    <xf numFmtId="0" fontId="70" fillId="8" borderId="0" xfId="2" applyFont="1" applyFill="1" applyProtection="1">
      <alignment vertical="center"/>
      <protection locked="0"/>
    </xf>
    <xf numFmtId="38" fontId="72" fillId="0" borderId="47" xfId="5" applyFont="1" applyFill="1" applyBorder="1" applyAlignment="1" applyProtection="1">
      <alignment vertical="center" wrapText="1"/>
      <protection locked="0"/>
    </xf>
    <xf numFmtId="0" fontId="73" fillId="4" borderId="47" xfId="0" applyFont="1" applyFill="1" applyBorder="1" applyAlignment="1" applyProtection="1">
      <alignment vertical="center" wrapText="1"/>
      <protection locked="0"/>
    </xf>
    <xf numFmtId="0" fontId="72" fillId="4" borderId="47" xfId="0" applyFont="1" applyFill="1" applyBorder="1" applyAlignment="1" applyProtection="1">
      <alignment vertical="center" wrapText="1"/>
      <protection locked="0"/>
    </xf>
    <xf numFmtId="0" fontId="72" fillId="0" borderId="47" xfId="0" applyFont="1" applyBorder="1" applyAlignment="1" applyProtection="1">
      <alignment vertical="center" wrapText="1"/>
      <protection locked="0"/>
    </xf>
    <xf numFmtId="0" fontId="73" fillId="19" borderId="47" xfId="0" applyFont="1" applyFill="1" applyBorder="1" applyAlignment="1" applyProtection="1">
      <alignment horizontal="center" vertical="center" wrapText="1"/>
      <protection locked="0"/>
    </xf>
    <xf numFmtId="0" fontId="72" fillId="19" borderId="47" xfId="2" applyFont="1" applyFill="1" applyBorder="1" applyAlignment="1" applyProtection="1">
      <alignment horizontal="center" vertical="center"/>
      <protection locked="0"/>
    </xf>
    <xf numFmtId="0" fontId="72" fillId="0" borderId="47" xfId="2" applyFont="1" applyBorder="1" applyProtection="1">
      <alignment vertical="center"/>
      <protection locked="0"/>
    </xf>
    <xf numFmtId="0" fontId="76" fillId="8" borderId="0" xfId="2" applyFont="1" applyFill="1" applyProtection="1">
      <alignment vertical="center"/>
      <protection locked="0"/>
    </xf>
    <xf numFmtId="0" fontId="20" fillId="0" borderId="0" xfId="2" applyFont="1" applyAlignment="1">
      <alignment horizontal="left" vertical="center"/>
    </xf>
    <xf numFmtId="0" fontId="4" fillId="0" borderId="0" xfId="2" applyFont="1" applyAlignment="1">
      <alignment vertical="center" wrapText="1"/>
    </xf>
    <xf numFmtId="0" fontId="4" fillId="0" borderId="0" xfId="2" applyFont="1" applyAlignment="1" applyProtection="1">
      <alignment vertical="center" wrapText="1"/>
      <protection locked="0"/>
    </xf>
    <xf numFmtId="0" fontId="74" fillId="9" borderId="11" xfId="2" applyFont="1" applyFill="1" applyBorder="1" applyAlignment="1" applyProtection="1">
      <alignment horizontal="center" vertical="center"/>
      <protection locked="0"/>
    </xf>
    <xf numFmtId="0" fontId="29" fillId="8" borderId="0" xfId="2" applyFont="1" applyFill="1" applyAlignment="1" applyProtection="1">
      <alignment horizontal="left" vertical="top" wrapText="1"/>
      <protection locked="0"/>
    </xf>
    <xf numFmtId="0" fontId="21" fillId="4" borderId="0" xfId="2" applyFont="1" applyFill="1" applyProtection="1">
      <alignment vertical="center"/>
      <protection locked="0"/>
    </xf>
    <xf numFmtId="0" fontId="7" fillId="4" borderId="0" xfId="2" applyFont="1" applyFill="1" applyProtection="1">
      <alignment vertical="center"/>
      <protection locked="0"/>
    </xf>
    <xf numFmtId="0" fontId="7" fillId="8" borderId="0" xfId="2" applyFont="1" applyFill="1" applyProtection="1">
      <alignment vertical="center"/>
      <protection locked="0"/>
    </xf>
    <xf numFmtId="0" fontId="79" fillId="4" borderId="11" xfId="2" applyFont="1" applyFill="1" applyBorder="1" applyAlignment="1" applyProtection="1">
      <alignment horizontal="center" vertical="center"/>
      <protection locked="0"/>
    </xf>
    <xf numFmtId="0" fontId="7" fillId="4" borderId="0" xfId="2" applyFont="1" applyFill="1" applyAlignment="1" applyProtection="1">
      <alignment horizontal="center" vertical="center" wrapText="1"/>
      <protection locked="0"/>
    </xf>
    <xf numFmtId="0" fontId="11" fillId="4" borderId="0" xfId="2" applyFont="1" applyFill="1" applyAlignment="1" applyProtection="1">
      <alignment horizontal="center" vertical="center" wrapText="1"/>
      <protection locked="0"/>
    </xf>
    <xf numFmtId="0" fontId="7" fillId="4" borderId="0" xfId="2" applyFont="1" applyFill="1" applyAlignment="1" applyProtection="1">
      <alignment horizontal="center" vertical="center"/>
      <protection locked="0"/>
    </xf>
    <xf numFmtId="0" fontId="10" fillId="4" borderId="0" xfId="2" applyFont="1" applyFill="1" applyAlignment="1" applyProtection="1">
      <alignment horizontal="center" vertical="center"/>
      <protection locked="0"/>
    </xf>
    <xf numFmtId="0" fontId="0" fillId="4" borderId="0" xfId="0" applyFill="1">
      <alignment vertical="center"/>
    </xf>
    <xf numFmtId="0" fontId="68" fillId="4" borderId="0" xfId="0" applyFont="1" applyFill="1">
      <alignment vertical="center"/>
    </xf>
    <xf numFmtId="0" fontId="9" fillId="4" borderId="0" xfId="2" applyFont="1" applyFill="1" applyProtection="1">
      <alignment vertical="center"/>
      <protection locked="0"/>
    </xf>
    <xf numFmtId="0" fontId="81" fillId="4" borderId="0" xfId="2" applyFont="1" applyFill="1" applyProtection="1">
      <alignment vertical="center"/>
      <protection locked="0"/>
    </xf>
    <xf numFmtId="0" fontId="11" fillId="4" borderId="0" xfId="2" applyFont="1" applyFill="1" applyProtection="1">
      <alignment vertical="center"/>
      <protection locked="0"/>
    </xf>
    <xf numFmtId="0" fontId="82" fillId="4" borderId="0" xfId="2" applyFont="1" applyFill="1" applyAlignment="1" applyProtection="1">
      <alignment vertical="center" wrapText="1"/>
      <protection locked="0"/>
    </xf>
    <xf numFmtId="0" fontId="21" fillId="4" borderId="0" xfId="1" applyFont="1" applyFill="1" applyProtection="1">
      <alignment vertical="center"/>
      <protection locked="0"/>
    </xf>
    <xf numFmtId="0" fontId="22" fillId="4" borderId="0" xfId="2" applyFont="1" applyFill="1" applyProtection="1">
      <alignment vertical="center"/>
      <protection locked="0"/>
    </xf>
    <xf numFmtId="0" fontId="22" fillId="30" borderId="6"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70" fillId="0" borderId="0" xfId="1" applyFont="1" applyProtection="1">
      <alignment vertical="center"/>
      <protection locked="0"/>
    </xf>
    <xf numFmtId="0" fontId="83" fillId="0" borderId="0" xfId="2" applyFont="1" applyProtection="1">
      <alignment vertical="center"/>
      <protection locked="0"/>
    </xf>
    <xf numFmtId="0" fontId="83" fillId="0" borderId="0" xfId="2" applyFont="1" applyAlignment="1" applyProtection="1">
      <alignment horizontal="right" vertical="center"/>
      <protection locked="0"/>
    </xf>
    <xf numFmtId="0" fontId="32" fillId="31" borderId="0" xfId="2" applyFont="1" applyFill="1" applyAlignment="1" applyProtection="1">
      <alignment vertical="center" shrinkToFit="1"/>
      <protection locked="0"/>
    </xf>
    <xf numFmtId="0" fontId="22" fillId="26" borderId="6" xfId="2" applyFont="1" applyFill="1" applyBorder="1" applyAlignment="1" applyProtection="1">
      <alignment vertical="center" wrapText="1" shrinkToFit="1"/>
      <protection locked="0"/>
    </xf>
    <xf numFmtId="0" fontId="22" fillId="26" borderId="0" xfId="2" applyFont="1" applyFill="1" applyAlignment="1" applyProtection="1">
      <alignment vertical="center" wrapText="1" shrinkToFit="1"/>
      <protection locked="0"/>
    </xf>
    <xf numFmtId="0" fontId="22" fillId="30" borderId="6" xfId="2" applyFont="1" applyFill="1" applyBorder="1" applyAlignment="1" applyProtection="1">
      <alignment vertical="center" wrapText="1" shrinkToFit="1"/>
      <protection locked="0"/>
    </xf>
    <xf numFmtId="0" fontId="22" fillId="30" borderId="0" xfId="2" applyFont="1" applyFill="1" applyAlignment="1" applyProtection="1">
      <alignment vertical="center" wrapText="1" shrinkToFit="1"/>
      <protection locked="0"/>
    </xf>
    <xf numFmtId="0" fontId="22" fillId="30" borderId="9" xfId="2" applyFont="1" applyFill="1" applyBorder="1" applyAlignment="1" applyProtection="1">
      <alignment vertical="center" wrapText="1" shrinkToFit="1"/>
      <protection locked="0"/>
    </xf>
    <xf numFmtId="0" fontId="25" fillId="30" borderId="6" xfId="0" applyFont="1" applyFill="1" applyBorder="1" applyAlignment="1" applyProtection="1">
      <alignment vertical="top"/>
      <protection locked="0"/>
    </xf>
    <xf numFmtId="0" fontId="26" fillId="30" borderId="0" xfId="0" applyFont="1" applyFill="1" applyAlignment="1" applyProtection="1">
      <alignment vertical="top" wrapText="1"/>
      <protection locked="0"/>
    </xf>
    <xf numFmtId="0" fontId="26" fillId="30" borderId="9" xfId="0" applyFont="1" applyFill="1" applyBorder="1" applyAlignment="1" applyProtection="1">
      <alignment vertical="top" wrapText="1"/>
      <protection locked="0"/>
    </xf>
    <xf numFmtId="0" fontId="83" fillId="0" borderId="0" xfId="2" applyFont="1" applyAlignment="1" applyProtection="1">
      <alignment horizontal="center" vertical="center" shrinkToFit="1"/>
      <protection locked="0"/>
    </xf>
    <xf numFmtId="0" fontId="21" fillId="26" borderId="6" xfId="2" applyFont="1" applyFill="1" applyBorder="1" applyProtection="1">
      <alignment vertical="center"/>
      <protection locked="0"/>
    </xf>
    <xf numFmtId="0" fontId="26" fillId="26" borderId="0" xfId="0" applyFont="1" applyFill="1" applyAlignment="1" applyProtection="1">
      <alignment vertical="center" shrinkToFit="1"/>
      <protection locked="0"/>
    </xf>
    <xf numFmtId="0" fontId="22" fillId="26" borderId="0" xfId="2" applyFont="1" applyFill="1" applyProtection="1">
      <alignment vertical="center"/>
      <protection locked="0"/>
    </xf>
    <xf numFmtId="0" fontId="7" fillId="26" borderId="0" xfId="2" applyFont="1" applyFill="1" applyProtection="1">
      <alignment vertical="center"/>
      <protection locked="0"/>
    </xf>
    <xf numFmtId="0" fontId="22" fillId="26" borderId="9" xfId="2" applyFont="1" applyFill="1" applyBorder="1" applyProtection="1">
      <alignment vertical="center"/>
      <protection locked="0"/>
    </xf>
    <xf numFmtId="0" fontId="21" fillId="4" borderId="6" xfId="2" applyFont="1" applyFill="1" applyBorder="1" applyProtection="1">
      <alignment vertical="center"/>
      <protection locked="0"/>
    </xf>
    <xf numFmtId="0" fontId="22" fillId="4" borderId="9" xfId="2" applyFont="1" applyFill="1" applyBorder="1" applyProtection="1">
      <alignment vertical="center"/>
      <protection locked="0"/>
    </xf>
    <xf numFmtId="0" fontId="21" fillId="30" borderId="6" xfId="2" applyFont="1" applyFill="1" applyBorder="1" applyProtection="1">
      <alignment vertical="center"/>
      <protection locked="0"/>
    </xf>
    <xf numFmtId="0" fontId="26" fillId="4" borderId="0" xfId="0" applyFont="1" applyFill="1" applyAlignment="1" applyProtection="1">
      <alignment vertical="center" shrinkToFit="1"/>
      <protection locked="0"/>
    </xf>
    <xf numFmtId="0" fontId="26" fillId="30" borderId="0" xfId="0" applyFont="1" applyFill="1" applyAlignment="1" applyProtection="1">
      <alignment vertical="center" shrinkToFit="1"/>
      <protection locked="0"/>
    </xf>
    <xf numFmtId="0" fontId="26" fillId="30" borderId="9" xfId="0" applyFont="1" applyFill="1" applyBorder="1" applyAlignment="1" applyProtection="1">
      <alignment vertical="center" shrinkToFit="1"/>
      <protection locked="0"/>
    </xf>
    <xf numFmtId="177" fontId="83" fillId="0" borderId="0" xfId="2" applyNumberFormat="1" applyFont="1" applyAlignment="1" applyProtection="1">
      <alignment horizontal="right" vertical="center" shrinkToFit="1"/>
      <protection locked="0"/>
    </xf>
    <xf numFmtId="0" fontId="22" fillId="30" borderId="0" xfId="2" applyFont="1" applyFill="1" applyProtection="1">
      <alignment vertical="center"/>
      <protection locked="0"/>
    </xf>
    <xf numFmtId="0" fontId="22" fillId="30" borderId="9" xfId="2" applyFont="1" applyFill="1" applyBorder="1" applyProtection="1">
      <alignment vertical="center"/>
      <protection locked="0"/>
    </xf>
    <xf numFmtId="1" fontId="32" fillId="31" borderId="0" xfId="2" applyNumberFormat="1" applyFont="1" applyFill="1" applyAlignment="1" applyProtection="1">
      <alignment vertical="center" shrinkToFit="1"/>
      <protection locked="0"/>
    </xf>
    <xf numFmtId="0" fontId="22" fillId="4" borderId="6" xfId="2" applyFont="1" applyFill="1" applyBorder="1" applyAlignment="1" applyProtection="1">
      <alignment horizontal="left" vertical="center"/>
      <protection locked="0"/>
    </xf>
    <xf numFmtId="0" fontId="34" fillId="4" borderId="6" xfId="2" applyFont="1" applyFill="1" applyBorder="1" applyAlignment="1" applyProtection="1">
      <alignment horizontal="center" vertical="center"/>
      <protection locked="0"/>
    </xf>
    <xf numFmtId="0" fontId="34" fillId="26" borderId="6" xfId="2" applyFont="1" applyFill="1" applyBorder="1" applyAlignment="1" applyProtection="1">
      <alignment horizontal="center" vertical="center"/>
      <protection locked="0"/>
    </xf>
    <xf numFmtId="0" fontId="34" fillId="26" borderId="9" xfId="2" applyFont="1" applyFill="1" applyBorder="1" applyAlignment="1" applyProtection="1">
      <alignment horizontal="center" vertical="center"/>
      <protection locked="0"/>
    </xf>
    <xf numFmtId="0" fontId="34" fillId="4" borderId="0" xfId="2" applyFont="1" applyFill="1" applyAlignment="1" applyProtection="1">
      <alignment horizontal="center" vertical="center"/>
      <protection locked="0"/>
    </xf>
    <xf numFmtId="0" fontId="86" fillId="30" borderId="9" xfId="2" applyFont="1" applyFill="1" applyBorder="1" applyAlignment="1" applyProtection="1">
      <alignment wrapText="1"/>
      <protection locked="0"/>
    </xf>
    <xf numFmtId="0" fontId="34" fillId="30" borderId="6" xfId="2" applyFont="1" applyFill="1" applyBorder="1" applyAlignment="1" applyProtection="1">
      <alignment horizontal="center" vertical="center"/>
      <protection locked="0"/>
    </xf>
    <xf numFmtId="0" fontId="2" fillId="0" borderId="47" xfId="2" applyBorder="1" applyAlignment="1" applyProtection="1">
      <alignment horizontal="center" vertical="center"/>
      <protection locked="0"/>
    </xf>
    <xf numFmtId="0" fontId="34" fillId="26" borderId="0" xfId="2" applyFont="1" applyFill="1" applyAlignment="1" applyProtection="1">
      <alignment horizontal="center" vertical="center"/>
      <protection locked="0"/>
    </xf>
    <xf numFmtId="0" fontId="86" fillId="30" borderId="5" xfId="2" applyFont="1" applyFill="1" applyBorder="1" applyAlignment="1" applyProtection="1">
      <alignment wrapText="1"/>
      <protection locked="0"/>
    </xf>
    <xf numFmtId="0" fontId="44" fillId="4" borderId="0" xfId="2" applyFont="1" applyFill="1" applyAlignment="1" applyProtection="1">
      <alignment vertical="top"/>
      <protection locked="0"/>
    </xf>
    <xf numFmtId="0" fontId="44" fillId="4" borderId="11" xfId="2" applyFont="1" applyFill="1" applyBorder="1" applyAlignment="1" applyProtection="1">
      <alignment vertical="top"/>
      <protection locked="0"/>
    </xf>
    <xf numFmtId="0" fontId="25" fillId="30" borderId="0" xfId="2" applyFont="1" applyFill="1" applyProtection="1">
      <alignment vertical="center"/>
      <protection locked="0"/>
    </xf>
    <xf numFmtId="0" fontId="25" fillId="31" borderId="0" xfId="2" applyFont="1" applyFill="1" applyProtection="1">
      <alignment vertical="center"/>
      <protection locked="0"/>
    </xf>
    <xf numFmtId="0" fontId="87" fillId="0" borderId="0" xfId="2" applyFont="1" applyProtection="1">
      <alignment vertical="center"/>
      <protection locked="0"/>
    </xf>
    <xf numFmtId="0" fontId="87" fillId="0" borderId="0" xfId="2" applyFont="1" applyAlignment="1" applyProtection="1">
      <alignment horizontal="right" vertical="center"/>
      <protection locked="0"/>
    </xf>
    <xf numFmtId="0" fontId="88" fillId="0" borderId="0" xfId="2" applyFont="1" applyProtection="1">
      <alignment vertical="center"/>
      <protection locked="0"/>
    </xf>
    <xf numFmtId="0" fontId="29" fillId="4" borderId="0" xfId="2" applyFont="1" applyFill="1" applyAlignment="1" applyProtection="1">
      <alignment horizontal="left" vertical="center"/>
      <protection locked="0"/>
    </xf>
    <xf numFmtId="0" fontId="28" fillId="30" borderId="0" xfId="2" applyFont="1" applyFill="1" applyAlignment="1" applyProtection="1">
      <alignment horizontal="center" vertical="center"/>
      <protection locked="0"/>
    </xf>
    <xf numFmtId="0" fontId="28" fillId="30" borderId="0" xfId="2" quotePrefix="1" applyFont="1" applyFill="1" applyAlignment="1" applyProtection="1">
      <alignment horizontal="center" vertical="center"/>
      <protection locked="0"/>
    </xf>
    <xf numFmtId="0" fontId="28" fillId="30" borderId="0" xfId="2" applyFont="1" applyFill="1" applyAlignment="1" applyProtection="1">
      <alignment horizontal="center" vertical="top"/>
      <protection locked="0"/>
    </xf>
    <xf numFmtId="0" fontId="2" fillId="4" borderId="0" xfId="2" applyFill="1" applyProtection="1">
      <alignment vertical="center"/>
      <protection locked="0"/>
    </xf>
    <xf numFmtId="0" fontId="89" fillId="0" borderId="0" xfId="2" applyFont="1" applyProtection="1">
      <alignment vertical="center"/>
      <protection locked="0"/>
    </xf>
    <xf numFmtId="0" fontId="89" fillId="0" borderId="0" xfId="2" applyFont="1" applyAlignment="1" applyProtection="1">
      <alignment horizontal="right" vertical="center"/>
      <protection locked="0"/>
    </xf>
    <xf numFmtId="0" fontId="28" fillId="30" borderId="0" xfId="2" applyFont="1" applyFill="1" applyProtection="1">
      <alignment vertical="center"/>
      <protection locked="0"/>
    </xf>
    <xf numFmtId="0" fontId="28" fillId="30" borderId="0" xfId="2" applyFont="1" applyFill="1" applyAlignment="1" applyProtection="1">
      <alignment horizontal="left" vertical="top"/>
      <protection locked="0"/>
    </xf>
    <xf numFmtId="0" fontId="33" fillId="4" borderId="0" xfId="0" applyFont="1" applyFill="1" applyAlignment="1" applyProtection="1">
      <alignment vertical="center" wrapText="1"/>
      <protection locked="0"/>
    </xf>
    <xf numFmtId="0" fontId="76" fillId="8" borderId="0" xfId="2" quotePrefix="1" applyFont="1" applyFill="1" applyAlignment="1" applyProtection="1">
      <alignment vertical="center" wrapText="1"/>
      <protection locked="0"/>
    </xf>
    <xf numFmtId="0" fontId="28" fillId="30" borderId="0" xfId="2" applyFont="1" applyFill="1" applyAlignment="1" applyProtection="1">
      <alignment horizontal="left" vertical="top" wrapText="1"/>
      <protection locked="0"/>
    </xf>
    <xf numFmtId="0" fontId="90" fillId="0" borderId="0" xfId="2" applyFont="1" applyProtection="1">
      <alignment vertical="center"/>
      <protection locked="0"/>
    </xf>
    <xf numFmtId="0" fontId="6" fillId="30" borderId="5" xfId="2" applyFont="1" applyFill="1" applyBorder="1" applyProtection="1">
      <alignment vertical="center"/>
      <protection locked="0"/>
    </xf>
    <xf numFmtId="0" fontId="36" fillId="30" borderId="5" xfId="0" applyFont="1" applyFill="1" applyBorder="1" applyProtection="1">
      <alignment vertical="center"/>
      <protection locked="0"/>
    </xf>
    <xf numFmtId="0" fontId="34" fillId="4" borderId="5" xfId="2" applyFont="1" applyFill="1" applyBorder="1" applyProtection="1">
      <alignment vertical="center"/>
      <protection locked="0"/>
    </xf>
    <xf numFmtId="0" fontId="34" fillId="30" borderId="0" xfId="2" applyFont="1" applyFill="1" applyProtection="1">
      <alignment vertical="center"/>
      <protection locked="0"/>
    </xf>
    <xf numFmtId="0" fontId="34" fillId="4" borderId="0" xfId="2" applyFont="1" applyFill="1" applyProtection="1">
      <alignment vertical="center"/>
      <protection locked="0"/>
    </xf>
    <xf numFmtId="0" fontId="34" fillId="4" borderId="0" xfId="2" applyFont="1" applyFill="1" applyAlignment="1" applyProtection="1">
      <alignment horizontal="right" vertical="center"/>
      <protection locked="0"/>
    </xf>
    <xf numFmtId="0" fontId="36" fillId="4" borderId="0" xfId="0" applyFont="1" applyFill="1" applyProtection="1">
      <alignment vertical="center"/>
      <protection locked="0"/>
    </xf>
    <xf numFmtId="0" fontId="36" fillId="30" borderId="0" xfId="0" applyFont="1" applyFill="1" applyProtection="1">
      <alignment vertical="center"/>
      <protection locked="0"/>
    </xf>
    <xf numFmtId="0" fontId="91" fillId="0" borderId="0" xfId="2" applyFont="1" applyProtection="1">
      <alignment vertical="center"/>
      <protection locked="0"/>
    </xf>
    <xf numFmtId="0" fontId="22" fillId="30" borderId="0" xfId="2" applyFont="1" applyFill="1" applyAlignment="1" applyProtection="1">
      <alignment vertical="center" shrinkToFit="1"/>
      <protection locked="0"/>
    </xf>
    <xf numFmtId="0" fontId="22" fillId="30" borderId="0" xfId="2" applyFont="1" applyFill="1" applyAlignment="1" applyProtection="1">
      <alignment shrinkToFit="1"/>
      <protection locked="0"/>
    </xf>
    <xf numFmtId="0" fontId="76" fillId="0" borderId="0" xfId="1" applyFont="1" applyAlignment="1" applyProtection="1">
      <alignment horizontal="left" vertical="center"/>
      <protection locked="0"/>
    </xf>
    <xf numFmtId="0" fontId="76" fillId="0" borderId="0" xfId="2" applyFont="1" applyAlignment="1" applyProtection="1">
      <alignment horizontal="left" vertical="center"/>
      <protection locked="0"/>
    </xf>
    <xf numFmtId="0" fontId="93" fillId="0" borderId="0" xfId="1" applyFont="1" applyProtection="1">
      <alignment vertical="center"/>
      <protection locked="0"/>
    </xf>
    <xf numFmtId="0" fontId="29" fillId="4" borderId="0" xfId="2" applyFont="1" applyFill="1" applyAlignment="1" applyProtection="1">
      <alignment vertical="top" wrapText="1"/>
      <protection locked="0"/>
    </xf>
    <xf numFmtId="0" fontId="29" fillId="30" borderId="0" xfId="2" applyFont="1" applyFill="1" applyAlignment="1" applyProtection="1">
      <alignment horizontal="left" vertical="center" shrinkToFit="1"/>
      <protection locked="0"/>
    </xf>
    <xf numFmtId="0" fontId="44" fillId="4" borderId="0" xfId="2" quotePrefix="1" applyFont="1" applyFill="1" applyAlignment="1" applyProtection="1">
      <alignment horizontal="right" vertical="top"/>
      <protection locked="0"/>
    </xf>
    <xf numFmtId="0" fontId="94" fillId="4" borderId="0" xfId="2" applyFont="1" applyFill="1" applyProtection="1">
      <alignment vertical="center"/>
      <protection locked="0"/>
    </xf>
    <xf numFmtId="0" fontId="29" fillId="4" borderId="0" xfId="0" applyFont="1" applyFill="1" applyProtection="1">
      <alignment vertical="center"/>
      <protection locked="0"/>
    </xf>
    <xf numFmtId="0" fontId="53" fillId="4" borderId="0" xfId="2" applyFont="1" applyFill="1" applyAlignment="1" applyProtection="1">
      <alignment vertical="top" wrapText="1"/>
      <protection locked="0"/>
    </xf>
    <xf numFmtId="0" fontId="29" fillId="30" borderId="0" xfId="0" applyFont="1" applyFill="1" applyAlignment="1" applyProtection="1">
      <alignment vertical="top" wrapText="1"/>
      <protection locked="0"/>
    </xf>
    <xf numFmtId="0" fontId="28" fillId="30" borderId="0" xfId="2" applyFont="1" applyFill="1" applyAlignment="1" applyProtection="1">
      <alignment horizontal="left" vertical="center" shrinkToFit="1"/>
      <protection locked="0"/>
    </xf>
    <xf numFmtId="0" fontId="28" fillId="4" borderId="0" xfId="2" quotePrefix="1" applyFont="1" applyFill="1" applyAlignment="1" applyProtection="1">
      <alignment horizontal="center" vertical="center"/>
      <protection locked="0"/>
    </xf>
    <xf numFmtId="0" fontId="30" fillId="4" borderId="0" xfId="2" applyFont="1" applyFill="1" applyProtection="1">
      <alignment vertical="center"/>
      <protection locked="0"/>
    </xf>
    <xf numFmtId="0" fontId="95" fillId="4" borderId="0" xfId="2" applyFont="1" applyFill="1" applyAlignment="1" applyProtection="1">
      <alignment vertical="top" wrapText="1"/>
      <protection locked="0"/>
    </xf>
    <xf numFmtId="0" fontId="42" fillId="30" borderId="0" xfId="0" applyFont="1" applyFill="1" applyAlignment="1" applyProtection="1">
      <alignment horizontal="left" vertical="top" wrapText="1"/>
      <protection locked="0"/>
    </xf>
    <xf numFmtId="0" fontId="22" fillId="30" borderId="0" xfId="2" applyFont="1" applyFill="1" applyAlignment="1" applyProtection="1">
      <alignment horizontal="left" vertical="center" shrinkToFit="1"/>
      <protection locked="0"/>
    </xf>
    <xf numFmtId="0" fontId="26" fillId="4" borderId="0" xfId="2" quotePrefix="1" applyFont="1" applyFill="1" applyAlignment="1" applyProtection="1">
      <alignment horizontal="center" vertical="center"/>
      <protection locked="0"/>
    </xf>
    <xf numFmtId="0" fontId="96" fillId="4" borderId="0" xfId="2" applyFont="1" applyFill="1" applyProtection="1">
      <alignment vertical="center"/>
      <protection locked="0"/>
    </xf>
    <xf numFmtId="0" fontId="43" fillId="4" borderId="0" xfId="2" applyFont="1" applyFill="1" applyAlignment="1" applyProtection="1">
      <alignment vertical="top" wrapText="1"/>
      <protection locked="0"/>
    </xf>
    <xf numFmtId="0" fontId="36" fillId="30" borderId="0" xfId="0" applyFont="1" applyFill="1" applyAlignment="1" applyProtection="1">
      <alignment horizontal="left" vertical="top" wrapText="1"/>
      <protection locked="0"/>
    </xf>
    <xf numFmtId="0" fontId="31" fillId="30" borderId="0" xfId="2" applyFont="1" applyFill="1" applyProtection="1">
      <alignment vertical="center"/>
      <protection locked="0"/>
    </xf>
    <xf numFmtId="0" fontId="21" fillId="30" borderId="0" xfId="2" applyFont="1" applyFill="1" applyProtection="1">
      <alignment vertical="center"/>
      <protection locked="0"/>
    </xf>
    <xf numFmtId="0" fontId="37" fillId="30" borderId="0" xfId="2" applyFont="1" applyFill="1" applyAlignment="1" applyProtection="1">
      <alignment horizontal="right" vertical="center"/>
      <protection locked="0"/>
    </xf>
    <xf numFmtId="0" fontId="97" fillId="0" borderId="0" xfId="2" applyFont="1" applyProtection="1">
      <alignment vertical="center"/>
      <protection locked="0"/>
    </xf>
    <xf numFmtId="0" fontId="97" fillId="0" borderId="0" xfId="2" applyFont="1" applyAlignment="1" applyProtection="1">
      <alignment horizontal="right" vertical="center"/>
      <protection locked="0"/>
    </xf>
    <xf numFmtId="176" fontId="37" fillId="30" borderId="0" xfId="2" applyNumberFormat="1" applyFont="1" applyFill="1" applyAlignment="1" applyProtection="1">
      <alignment horizontal="center" vertical="center"/>
      <protection locked="0"/>
    </xf>
    <xf numFmtId="0" fontId="27" fillId="30" borderId="41" xfId="0" applyFont="1" applyFill="1" applyBorder="1" applyAlignment="1" applyProtection="1">
      <alignment horizontal="center"/>
      <protection locked="0"/>
    </xf>
    <xf numFmtId="0" fontId="27" fillId="30" borderId="0" xfId="0" applyFont="1" applyFill="1" applyProtection="1">
      <alignment vertical="center"/>
      <protection locked="0"/>
    </xf>
    <xf numFmtId="0" fontId="32" fillId="4" borderId="136" xfId="0" applyFont="1" applyFill="1" applyBorder="1" applyAlignment="1" applyProtection="1">
      <alignment horizontal="center" vertical="center"/>
      <protection locked="0"/>
    </xf>
    <xf numFmtId="0" fontId="32" fillId="4" borderId="9" xfId="0" applyFont="1" applyFill="1" applyBorder="1" applyAlignment="1" applyProtection="1">
      <alignment horizontal="center" vertical="center"/>
      <protection locked="0"/>
    </xf>
    <xf numFmtId="0" fontId="32" fillId="4" borderId="35" xfId="0" applyFont="1" applyFill="1" applyBorder="1" applyAlignment="1" applyProtection="1">
      <alignment horizontal="center" vertical="center"/>
      <protection locked="0"/>
    </xf>
    <xf numFmtId="0" fontId="32" fillId="4" borderId="37" xfId="0" applyFont="1" applyFill="1" applyBorder="1" applyAlignment="1" applyProtection="1">
      <alignment horizontal="center" vertical="center"/>
      <protection locked="0"/>
    </xf>
    <xf numFmtId="0" fontId="32" fillId="4" borderId="38" xfId="0" applyFont="1" applyFill="1" applyBorder="1" applyAlignment="1" applyProtection="1">
      <alignment horizontal="center" vertical="center"/>
      <protection locked="0"/>
    </xf>
    <xf numFmtId="0" fontId="32" fillId="4" borderId="34" xfId="0" applyFont="1" applyFill="1" applyBorder="1" applyAlignment="1" applyProtection="1">
      <alignment horizontal="center" vertical="center"/>
      <protection locked="0"/>
    </xf>
    <xf numFmtId="0" fontId="32" fillId="4" borderId="15" xfId="0" applyFont="1" applyFill="1" applyBorder="1" applyAlignment="1" applyProtection="1">
      <alignment horizontal="center" vertical="center"/>
      <protection locked="0"/>
    </xf>
    <xf numFmtId="0" fontId="36" fillId="30" borderId="0" xfId="0" applyFont="1" applyFill="1" applyAlignment="1" applyProtection="1">
      <alignment horizontal="right" vertical="center"/>
      <protection locked="0"/>
    </xf>
    <xf numFmtId="179" fontId="22" fillId="30" borderId="0" xfId="2" applyNumberFormat="1" applyFont="1" applyFill="1" applyAlignment="1" applyProtection="1">
      <alignment horizontal="right" vertical="center"/>
      <protection locked="0"/>
    </xf>
    <xf numFmtId="0" fontId="32" fillId="4" borderId="138" xfId="0" applyFont="1" applyFill="1" applyBorder="1" applyAlignment="1" applyProtection="1">
      <alignment horizontal="center" vertical="center"/>
      <protection locked="0"/>
    </xf>
    <xf numFmtId="0" fontId="32" fillId="4" borderId="85" xfId="0" applyFont="1" applyFill="1" applyBorder="1" applyAlignment="1" applyProtection="1">
      <alignment horizontal="center" vertical="center"/>
      <protection locked="0"/>
    </xf>
    <xf numFmtId="0" fontId="22" fillId="30" borderId="0" xfId="2" quotePrefix="1" applyFont="1" applyFill="1" applyAlignment="1" applyProtection="1">
      <alignment horizontal="left" vertical="center"/>
      <protection locked="0"/>
    </xf>
    <xf numFmtId="0" fontId="22" fillId="30" borderId="0" xfId="2" applyFont="1" applyFill="1" applyAlignment="1" applyProtection="1">
      <alignment horizontal="distributed" vertical="center"/>
      <protection locked="0"/>
    </xf>
    <xf numFmtId="179" fontId="22" fillId="4" borderId="0" xfId="2" applyNumberFormat="1" applyFont="1" applyFill="1" applyAlignment="1" applyProtection="1">
      <alignment horizontal="right" vertical="center"/>
      <protection locked="0"/>
    </xf>
    <xf numFmtId="0" fontId="32" fillId="4" borderId="41" xfId="0" applyFont="1" applyFill="1" applyBorder="1" applyAlignment="1" applyProtection="1">
      <alignment horizontal="center" vertical="center"/>
      <protection locked="0"/>
    </xf>
    <xf numFmtId="0" fontId="22" fillId="30" borderId="0" xfId="2" quotePrefix="1" applyFont="1" applyFill="1" applyAlignment="1" applyProtection="1">
      <alignment horizontal="center" vertical="center"/>
      <protection locked="0"/>
    </xf>
    <xf numFmtId="0" fontId="21" fillId="30" borderId="0" xfId="2" applyFont="1" applyFill="1" applyAlignment="1" applyProtection="1">
      <alignment vertical="top"/>
      <protection locked="0"/>
    </xf>
    <xf numFmtId="0" fontId="22" fillId="30" borderId="11" xfId="2" applyFont="1" applyFill="1" applyBorder="1" applyAlignment="1" applyProtection="1">
      <alignment vertical="top"/>
      <protection locked="0"/>
    </xf>
    <xf numFmtId="0" fontId="21" fillId="30" borderId="11" xfId="2" applyFont="1" applyFill="1" applyBorder="1" applyAlignment="1" applyProtection="1">
      <alignment vertical="top"/>
      <protection locked="0"/>
    </xf>
    <xf numFmtId="176" fontId="31" fillId="30" borderId="0" xfId="2" applyNumberFormat="1" applyFont="1" applyFill="1" applyAlignment="1" applyProtection="1">
      <alignment horizontal="center" vertical="center"/>
      <protection locked="0"/>
    </xf>
    <xf numFmtId="0" fontId="6" fillId="4" borderId="5" xfId="2" applyFont="1" applyFill="1" applyBorder="1" applyProtection="1">
      <alignment vertical="center"/>
      <protection locked="0"/>
    </xf>
    <xf numFmtId="0" fontId="36" fillId="4" borderId="5" xfId="0" applyFont="1" applyFill="1" applyBorder="1" applyProtection="1">
      <alignment vertical="center"/>
      <protection locked="0"/>
    </xf>
    <xf numFmtId="0" fontId="21" fillId="30" borderId="0" xfId="2" applyFont="1" applyFill="1" applyAlignment="1" applyProtection="1">
      <alignment horizontal="right" vertical="center"/>
      <protection locked="0"/>
    </xf>
    <xf numFmtId="0" fontId="34" fillId="30" borderId="0" xfId="2" applyFont="1" applyFill="1" applyAlignment="1" applyProtection="1">
      <alignment horizontal="right" vertical="center"/>
      <protection locked="0"/>
    </xf>
    <xf numFmtId="0" fontId="7" fillId="0" borderId="0" xfId="1" applyFont="1" applyProtection="1">
      <alignment vertical="center"/>
      <protection locked="0"/>
    </xf>
    <xf numFmtId="177" fontId="26" fillId="4" borderId="21" xfId="2" applyNumberFormat="1" applyFont="1" applyFill="1" applyBorder="1" applyAlignment="1" applyProtection="1">
      <alignment horizontal="right" vertical="center"/>
      <protection locked="0"/>
    </xf>
    <xf numFmtId="3" fontId="26" fillId="4" borderId="21" xfId="2" applyNumberFormat="1" applyFont="1" applyFill="1" applyBorder="1" applyAlignment="1" applyProtection="1">
      <alignment horizontal="right" vertical="center"/>
      <protection locked="0"/>
    </xf>
    <xf numFmtId="177" fontId="26" fillId="4" borderId="20" xfId="2" applyNumberFormat="1" applyFont="1" applyFill="1" applyBorder="1" applyAlignment="1" applyProtection="1">
      <alignment horizontal="right" vertical="center"/>
      <protection locked="0"/>
    </xf>
    <xf numFmtId="177" fontId="26" fillId="4" borderId="58" xfId="2" applyNumberFormat="1" applyFont="1" applyFill="1" applyBorder="1" applyAlignment="1" applyProtection="1">
      <alignment horizontal="right" vertical="center"/>
      <protection locked="0"/>
    </xf>
    <xf numFmtId="3" fontId="26" fillId="4" borderId="58" xfId="2" applyNumberFormat="1" applyFont="1" applyFill="1" applyBorder="1" applyAlignment="1" applyProtection="1">
      <alignment horizontal="right" vertical="center"/>
      <protection locked="0"/>
    </xf>
    <xf numFmtId="177" fontId="26" fillId="4" borderId="35" xfId="2" applyNumberFormat="1" applyFont="1" applyFill="1" applyBorder="1" applyAlignment="1" applyProtection="1">
      <alignment horizontal="right" vertical="center"/>
      <protection locked="0"/>
    </xf>
    <xf numFmtId="0" fontId="22" fillId="0" borderId="9" xfId="0" applyFont="1" applyBorder="1" applyProtection="1">
      <alignment vertical="center"/>
      <protection locked="0"/>
    </xf>
    <xf numFmtId="0" fontId="99" fillId="0" borderId="9" xfId="0" applyFont="1" applyBorder="1" applyAlignment="1" applyProtection="1">
      <alignment horizontal="center" vertical="center" wrapText="1"/>
      <protection locked="0"/>
    </xf>
    <xf numFmtId="177" fontId="26" fillId="4" borderId="80" xfId="2" applyNumberFormat="1" applyFont="1" applyFill="1" applyBorder="1" applyAlignment="1" applyProtection="1">
      <alignment horizontal="right" vertical="center"/>
      <protection locked="0"/>
    </xf>
    <xf numFmtId="3" fontId="26" fillId="4" borderId="80" xfId="2" applyNumberFormat="1" applyFont="1" applyFill="1" applyBorder="1" applyAlignment="1" applyProtection="1">
      <alignment horizontal="right" vertical="center"/>
      <protection locked="0"/>
    </xf>
    <xf numFmtId="177" fontId="26" fillId="4" borderId="37" xfId="2" applyNumberFormat="1" applyFont="1" applyFill="1" applyBorder="1" applyAlignment="1" applyProtection="1">
      <alignment horizontal="right" vertical="center"/>
      <protection locked="0"/>
    </xf>
    <xf numFmtId="177" fontId="26" fillId="4" borderId="100" xfId="2" applyNumberFormat="1" applyFont="1" applyFill="1" applyBorder="1" applyAlignment="1" applyProtection="1">
      <alignment horizontal="right" vertical="center"/>
      <protection locked="0"/>
    </xf>
    <xf numFmtId="3" fontId="26" fillId="4" borderId="100" xfId="2" applyNumberFormat="1" applyFont="1" applyFill="1" applyBorder="1" applyAlignment="1" applyProtection="1">
      <alignment horizontal="right" vertical="center"/>
      <protection locked="0"/>
    </xf>
    <xf numFmtId="177" fontId="26" fillId="4" borderId="41" xfId="2" applyNumberFormat="1" applyFont="1" applyFill="1" applyBorder="1" applyAlignment="1" applyProtection="1">
      <alignment horizontal="right" vertical="center"/>
      <protection locked="0"/>
    </xf>
    <xf numFmtId="177" fontId="26" fillId="4" borderId="56" xfId="2" applyNumberFormat="1" applyFont="1" applyFill="1" applyBorder="1" applyAlignment="1" applyProtection="1">
      <alignment horizontal="right" vertical="center"/>
      <protection locked="0"/>
    </xf>
    <xf numFmtId="3" fontId="26" fillId="4" borderId="56" xfId="2" applyNumberFormat="1" applyFont="1" applyFill="1" applyBorder="1" applyAlignment="1" applyProtection="1">
      <alignment horizontal="right" vertical="center"/>
      <protection locked="0"/>
    </xf>
    <xf numFmtId="177" fontId="26" fillId="4" borderId="40" xfId="2" applyNumberFormat="1" applyFont="1" applyFill="1" applyBorder="1" applyAlignment="1" applyProtection="1">
      <alignment horizontal="right" vertical="center"/>
      <protection locked="0"/>
    </xf>
    <xf numFmtId="0" fontId="70" fillId="0" borderId="0" xfId="2" applyFont="1" applyAlignment="1" applyProtection="1">
      <alignment horizontal="left" vertical="center"/>
      <protection locked="0"/>
    </xf>
    <xf numFmtId="0" fontId="45" fillId="4" borderId="0" xfId="2" applyFont="1" applyFill="1" applyAlignment="1" applyProtection="1">
      <alignment vertical="top"/>
      <protection locked="0"/>
    </xf>
    <xf numFmtId="0" fontId="6" fillId="4" borderId="0" xfId="2" applyFont="1" applyFill="1" applyProtection="1">
      <alignment vertical="center"/>
      <protection locked="0"/>
    </xf>
    <xf numFmtId="0" fontId="31" fillId="4" borderId="0" xfId="2" applyFont="1" applyFill="1" applyProtection="1">
      <alignment vertical="center"/>
      <protection locked="0"/>
    </xf>
    <xf numFmtId="0" fontId="21" fillId="0" borderId="0" xfId="2" applyFont="1" applyAlignment="1" applyProtection="1">
      <alignment horizontal="left" vertical="center"/>
      <protection locked="0"/>
    </xf>
    <xf numFmtId="0" fontId="97" fillId="8" borderId="0" xfId="2" applyFont="1" applyFill="1" applyProtection="1">
      <alignment vertical="center"/>
      <protection locked="0"/>
    </xf>
    <xf numFmtId="0" fontId="97" fillId="8" borderId="0" xfId="2" applyFont="1" applyFill="1" applyAlignment="1" applyProtection="1">
      <alignment horizontal="right" vertical="center"/>
      <protection locked="0"/>
    </xf>
    <xf numFmtId="0" fontId="44" fillId="4" borderId="0" xfId="2" applyFont="1" applyFill="1" applyAlignment="1" applyProtection="1">
      <alignment vertical="top" wrapText="1"/>
      <protection locked="0"/>
    </xf>
    <xf numFmtId="0" fontId="28" fillId="4" borderId="100" xfId="2" applyFont="1" applyFill="1" applyBorder="1" applyAlignment="1" applyProtection="1">
      <alignment horizontal="right"/>
      <protection locked="0"/>
    </xf>
    <xf numFmtId="0" fontId="28" fillId="4" borderId="41" xfId="2" applyFont="1" applyFill="1" applyBorder="1" applyAlignment="1" applyProtection="1">
      <alignment horizontal="right"/>
      <protection locked="0"/>
    </xf>
    <xf numFmtId="0" fontId="44" fillId="4" borderId="0" xfId="2" applyFont="1" applyFill="1" applyAlignment="1" applyProtection="1">
      <alignment horizontal="right" vertical="top"/>
      <protection locked="0"/>
    </xf>
    <xf numFmtId="0" fontId="44" fillId="4" borderId="0" xfId="2" applyFont="1" applyFill="1" applyAlignment="1" applyProtection="1">
      <alignment horizontal="right" vertical="top" wrapText="1"/>
      <protection locked="0"/>
    </xf>
    <xf numFmtId="0" fontId="28" fillId="4" borderId="0" xfId="2" applyFont="1" applyFill="1" applyAlignment="1" applyProtection="1">
      <alignment horizontal="center" vertical="top" shrinkToFit="1"/>
      <protection locked="0"/>
    </xf>
    <xf numFmtId="3" fontId="28" fillId="4" borderId="0" xfId="2" quotePrefix="1" applyNumberFormat="1" applyFont="1" applyFill="1" applyAlignment="1" applyProtection="1">
      <alignment horizontal="center" vertical="top"/>
      <protection locked="0"/>
    </xf>
    <xf numFmtId="0" fontId="28" fillId="4" borderId="0" xfId="2" applyFont="1" applyFill="1" applyAlignment="1" applyProtection="1">
      <alignment vertical="top" wrapText="1" shrinkToFit="1"/>
      <protection locked="0"/>
    </xf>
    <xf numFmtId="0" fontId="31" fillId="30" borderId="5" xfId="2" applyFont="1" applyFill="1" applyBorder="1" applyProtection="1">
      <alignment vertical="center"/>
      <protection locked="0"/>
    </xf>
    <xf numFmtId="0" fontId="27" fillId="4" borderId="0" xfId="2" applyFont="1" applyFill="1" applyProtection="1">
      <alignment vertical="center"/>
      <protection locked="0"/>
    </xf>
    <xf numFmtId="0" fontId="68" fillId="4" borderId="0" xfId="2" applyFont="1" applyFill="1" applyAlignment="1" applyProtection="1">
      <alignment horizontal="right" vertical="center"/>
      <protection locked="0"/>
    </xf>
    <xf numFmtId="0" fontId="29" fillId="4" borderId="0" xfId="2" applyFont="1" applyFill="1" applyAlignment="1" applyProtection="1">
      <alignment horizontal="left" vertical="center" wrapText="1"/>
      <protection locked="0"/>
    </xf>
    <xf numFmtId="0" fontId="34" fillId="4" borderId="5" xfId="2" applyFont="1" applyFill="1" applyBorder="1" applyAlignment="1" applyProtection="1">
      <alignment horizontal="right" vertical="center"/>
      <protection locked="0"/>
    </xf>
    <xf numFmtId="177" fontId="28" fillId="4" borderId="43" xfId="2" applyNumberFormat="1" applyFont="1" applyFill="1" applyBorder="1" applyProtection="1">
      <alignment vertical="center"/>
      <protection locked="0"/>
    </xf>
    <xf numFmtId="177" fontId="28" fillId="4" borderId="53" xfId="2" applyNumberFormat="1" applyFont="1" applyFill="1" applyBorder="1" applyProtection="1">
      <alignment vertical="center"/>
      <protection locked="0"/>
    </xf>
    <xf numFmtId="0" fontId="22" fillId="4" borderId="0" xfId="2" applyFont="1" applyFill="1" applyAlignment="1" applyProtection="1">
      <alignment horizontal="right" vertical="center"/>
      <protection locked="0"/>
    </xf>
    <xf numFmtId="0" fontId="21" fillId="0" borderId="0" xfId="1" applyFont="1" applyAlignment="1" applyProtection="1">
      <alignment horizontal="left" vertical="center"/>
      <protection locked="0"/>
    </xf>
    <xf numFmtId="177" fontId="28" fillId="4" borderId="55" xfId="2" applyNumberFormat="1" applyFont="1" applyFill="1" applyBorder="1" applyProtection="1">
      <alignment vertical="center"/>
      <protection locked="0"/>
    </xf>
    <xf numFmtId="177" fontId="28" fillId="4" borderId="35" xfId="2" applyNumberFormat="1" applyFont="1" applyFill="1" applyBorder="1" applyProtection="1">
      <alignment vertical="center"/>
      <protection locked="0"/>
    </xf>
    <xf numFmtId="0" fontId="22" fillId="4" borderId="0" xfId="2" applyFont="1" applyFill="1" applyAlignment="1" applyProtection="1">
      <alignment horizontal="center" vertical="center"/>
      <protection locked="0"/>
    </xf>
    <xf numFmtId="177" fontId="28" fillId="4" borderId="26" xfId="2" applyNumberFormat="1" applyFont="1" applyFill="1" applyBorder="1" applyProtection="1">
      <alignment vertical="center"/>
      <protection locked="0"/>
    </xf>
    <xf numFmtId="177" fontId="28" fillId="4" borderId="38" xfId="2" applyNumberFormat="1" applyFont="1" applyFill="1" applyBorder="1" applyProtection="1">
      <alignment vertical="center"/>
      <protection locked="0"/>
    </xf>
    <xf numFmtId="177" fontId="28" fillId="5" borderId="54" xfId="2" applyNumberFormat="1" applyFont="1" applyFill="1" applyBorder="1" applyProtection="1">
      <alignment vertical="center"/>
      <protection locked="0"/>
    </xf>
    <xf numFmtId="177" fontId="28" fillId="5" borderId="39" xfId="2" applyNumberFormat="1" applyFont="1" applyFill="1" applyBorder="1" applyProtection="1">
      <alignment vertical="center"/>
      <protection locked="0"/>
    </xf>
    <xf numFmtId="177" fontId="28" fillId="4" borderId="20" xfId="2" applyNumberFormat="1" applyFont="1" applyFill="1" applyBorder="1" applyProtection="1">
      <alignment vertical="center"/>
      <protection locked="0"/>
    </xf>
    <xf numFmtId="177" fontId="28" fillId="4" borderId="34" xfId="2" applyNumberFormat="1" applyFont="1" applyFill="1" applyBorder="1" applyProtection="1">
      <alignment vertical="center"/>
      <protection locked="0"/>
    </xf>
    <xf numFmtId="178" fontId="8" fillId="4" borderId="36" xfId="3" applyNumberFormat="1" applyFont="1" applyFill="1" applyBorder="1" applyAlignment="1" applyProtection="1">
      <alignment horizontal="right" vertical="center"/>
      <protection locked="0"/>
    </xf>
    <xf numFmtId="177" fontId="10" fillId="4" borderId="55" xfId="2" applyNumberFormat="1" applyFont="1" applyFill="1" applyBorder="1" applyProtection="1">
      <alignment vertical="center"/>
      <protection locked="0"/>
    </xf>
    <xf numFmtId="0" fontId="27" fillId="4" borderId="16" xfId="0" applyFont="1" applyFill="1" applyBorder="1" applyAlignment="1" applyProtection="1">
      <alignment vertical="center" textRotation="255"/>
      <protection locked="0"/>
    </xf>
    <xf numFmtId="0" fontId="27" fillId="4" borderId="17" xfId="0" applyFont="1" applyFill="1" applyBorder="1" applyAlignment="1" applyProtection="1">
      <alignment vertical="center" textRotation="255"/>
      <protection locked="0"/>
    </xf>
    <xf numFmtId="177" fontId="28" fillId="4" borderId="54" xfId="2" applyNumberFormat="1" applyFont="1" applyFill="1" applyBorder="1" applyProtection="1">
      <alignment vertical="center"/>
      <protection locked="0"/>
    </xf>
    <xf numFmtId="177" fontId="28" fillId="4" borderId="39" xfId="2" applyNumberFormat="1" applyFont="1" applyFill="1" applyBorder="1" applyProtection="1">
      <alignment vertical="center"/>
      <protection locked="0"/>
    </xf>
    <xf numFmtId="177" fontId="28" fillId="4" borderId="17" xfId="2" applyNumberFormat="1" applyFont="1" applyFill="1" applyBorder="1" applyProtection="1">
      <alignment vertical="center"/>
      <protection locked="0"/>
    </xf>
    <xf numFmtId="177" fontId="28" fillId="4" borderId="15" xfId="2" applyNumberFormat="1" applyFont="1" applyFill="1" applyBorder="1" applyProtection="1">
      <alignment vertical="center"/>
      <protection locked="0"/>
    </xf>
    <xf numFmtId="177" fontId="28" fillId="5" borderId="20" xfId="2" applyNumberFormat="1" applyFont="1" applyFill="1" applyBorder="1" applyProtection="1">
      <alignment vertical="center"/>
      <protection locked="0"/>
    </xf>
    <xf numFmtId="177" fontId="28" fillId="5" borderId="34" xfId="2" applyNumberFormat="1" applyFont="1" applyFill="1" applyBorder="1" applyProtection="1">
      <alignment vertical="center"/>
      <protection locked="0"/>
    </xf>
    <xf numFmtId="178" fontId="23" fillId="4" borderId="52" xfId="3" applyNumberFormat="1" applyFont="1" applyFill="1" applyBorder="1" applyAlignment="1" applyProtection="1">
      <alignment horizontal="right" vertical="center"/>
      <protection locked="0"/>
    </xf>
    <xf numFmtId="177" fontId="28" fillId="5" borderId="86" xfId="2" applyNumberFormat="1" applyFont="1" applyFill="1" applyBorder="1" applyProtection="1">
      <alignment vertical="center"/>
      <protection locked="0"/>
    </xf>
    <xf numFmtId="177" fontId="28" fillId="5" borderId="85" xfId="2" applyNumberFormat="1" applyFont="1" applyFill="1" applyBorder="1" applyProtection="1">
      <alignment vertical="center"/>
      <protection locked="0"/>
    </xf>
    <xf numFmtId="0" fontId="27" fillId="4" borderId="0" xfId="2" quotePrefix="1" applyFont="1" applyFill="1" applyAlignment="1" applyProtection="1">
      <alignment horizontal="center" vertical="center"/>
      <protection locked="0"/>
    </xf>
    <xf numFmtId="0" fontId="27" fillId="4" borderId="0" xfId="0" applyFont="1" applyFill="1" applyProtection="1">
      <alignment vertical="center"/>
      <protection locked="0"/>
    </xf>
    <xf numFmtId="38" fontId="27" fillId="4" borderId="0" xfId="3" applyFont="1" applyFill="1" applyAlignment="1" applyProtection="1">
      <alignment horizontal="right"/>
      <protection locked="0"/>
    </xf>
    <xf numFmtId="178" fontId="27" fillId="4" borderId="0" xfId="3" applyNumberFormat="1" applyFont="1" applyFill="1" applyAlignment="1" applyProtection="1">
      <alignment horizontal="right" vertical="center"/>
      <protection locked="0"/>
    </xf>
    <xf numFmtId="178" fontId="27" fillId="4" borderId="0" xfId="0" applyNumberFormat="1" applyFont="1" applyFill="1" applyProtection="1">
      <alignment vertical="center"/>
      <protection locked="0"/>
    </xf>
    <xf numFmtId="0" fontId="31" fillId="4" borderId="0" xfId="2" applyFont="1" applyFill="1" applyAlignment="1" applyProtection="1">
      <alignment vertical="top" wrapText="1"/>
      <protection locked="0"/>
    </xf>
    <xf numFmtId="0" fontId="19" fillId="4" borderId="0" xfId="2" applyFont="1" applyFill="1" applyAlignment="1" applyProtection="1">
      <alignment vertical="top" wrapText="1"/>
      <protection locked="0"/>
    </xf>
    <xf numFmtId="0" fontId="89" fillId="8" borderId="0" xfId="2" applyFont="1" applyFill="1" applyProtection="1">
      <alignment vertical="center"/>
      <protection locked="0"/>
    </xf>
    <xf numFmtId="0" fontId="89" fillId="8" borderId="0" xfId="2" applyFont="1" applyFill="1" applyAlignment="1" applyProtection="1">
      <alignment horizontal="right" vertical="center"/>
      <protection locked="0"/>
    </xf>
    <xf numFmtId="0" fontId="25" fillId="4" borderId="0" xfId="2" applyFont="1" applyFill="1" applyProtection="1">
      <alignment vertical="center"/>
      <protection locked="0"/>
    </xf>
    <xf numFmtId="0" fontId="26" fillId="4" borderId="0" xfId="2" applyFont="1" applyFill="1" applyAlignment="1" applyProtection="1">
      <alignment vertical="center" wrapText="1"/>
      <protection locked="0"/>
    </xf>
    <xf numFmtId="0" fontId="43" fillId="0" borderId="0" xfId="2" applyFont="1" applyAlignment="1" applyProtection="1">
      <alignment vertical="top" wrapText="1"/>
      <protection locked="0"/>
    </xf>
    <xf numFmtId="0" fontId="101" fillId="0" borderId="0" xfId="1" applyFont="1" applyAlignment="1" applyProtection="1">
      <alignment horizontal="left" vertical="center"/>
      <protection locked="0"/>
    </xf>
    <xf numFmtId="0" fontId="25" fillId="0" borderId="0" xfId="2" applyFont="1" applyProtection="1">
      <alignment vertical="center"/>
      <protection locked="0"/>
    </xf>
    <xf numFmtId="0" fontId="31" fillId="12" borderId="54" xfId="2" applyFont="1" applyFill="1" applyBorder="1" applyAlignment="1" applyProtection="1">
      <alignment horizontal="left" vertical="center" shrinkToFit="1"/>
      <protection locked="0"/>
    </xf>
    <xf numFmtId="0" fontId="31" fillId="12" borderId="132" xfId="2" applyFont="1" applyFill="1" applyBorder="1" applyAlignment="1" applyProtection="1">
      <alignment horizontal="left" vertical="center" shrinkToFit="1"/>
      <protection locked="0"/>
    </xf>
    <xf numFmtId="0" fontId="28" fillId="12" borderId="101" xfId="2" applyFont="1" applyFill="1" applyBorder="1" applyAlignment="1" applyProtection="1">
      <alignment horizontal="center" vertical="center" wrapText="1"/>
      <protection locked="0"/>
    </xf>
    <xf numFmtId="0" fontId="28" fillId="7" borderId="101" xfId="2" applyFont="1" applyFill="1" applyBorder="1" applyAlignment="1" applyProtection="1">
      <alignment horizontal="center" vertical="center" wrapText="1"/>
      <protection locked="0"/>
    </xf>
    <xf numFmtId="0" fontId="28" fillId="7" borderId="98" xfId="2" applyFont="1" applyFill="1" applyBorder="1" applyAlignment="1" applyProtection="1">
      <alignment horizontal="center" vertical="center" wrapText="1"/>
      <protection locked="0"/>
    </xf>
    <xf numFmtId="0" fontId="28" fillId="25" borderId="67" xfId="2" applyFont="1" applyFill="1" applyBorder="1" applyAlignment="1" applyProtection="1">
      <alignment horizontal="center" vertical="center" wrapText="1"/>
      <protection locked="0"/>
    </xf>
    <xf numFmtId="0" fontId="23" fillId="0" borderId="98" xfId="2" applyFont="1" applyBorder="1" applyAlignment="1" applyProtection="1">
      <alignment vertical="center" shrinkToFit="1"/>
      <protection locked="0"/>
    </xf>
    <xf numFmtId="0" fontId="32" fillId="6" borderId="0" xfId="2" applyFont="1" applyFill="1" applyAlignment="1" applyProtection="1">
      <alignment horizontal="left" vertical="top" shrinkToFit="1"/>
      <protection locked="0"/>
    </xf>
    <xf numFmtId="38" fontId="31" fillId="8" borderId="0" xfId="3" applyFont="1" applyFill="1" applyBorder="1" applyAlignment="1" applyProtection="1">
      <alignment horizontal="center" vertical="center" wrapText="1"/>
      <protection locked="0"/>
    </xf>
    <xf numFmtId="38" fontId="31" fillId="8" borderId="0" xfId="3" applyFont="1" applyFill="1" applyBorder="1" applyAlignment="1" applyProtection="1">
      <alignment vertical="center" wrapText="1"/>
      <protection locked="0"/>
    </xf>
    <xf numFmtId="38" fontId="21" fillId="0" borderId="0" xfId="3" applyFont="1" applyFill="1" applyBorder="1" applyAlignment="1" applyProtection="1">
      <alignment horizontal="center" vertical="center" wrapText="1"/>
      <protection locked="0"/>
    </xf>
    <xf numFmtId="38" fontId="21" fillId="0" borderId="0" xfId="3" applyFont="1" applyFill="1" applyBorder="1" applyAlignment="1" applyProtection="1">
      <alignment vertical="center" wrapText="1"/>
      <protection locked="0"/>
    </xf>
    <xf numFmtId="0" fontId="68" fillId="0" borderId="0" xfId="0" applyFont="1" applyAlignment="1" applyProtection="1">
      <alignment horizontal="right" vertical="top" wrapText="1"/>
      <protection locked="0"/>
    </xf>
    <xf numFmtId="0" fontId="93" fillId="7" borderId="0" xfId="2" applyFont="1" applyFill="1" applyAlignment="1" applyProtection="1">
      <alignment vertical="center" shrinkToFit="1"/>
      <protection locked="0"/>
    </xf>
    <xf numFmtId="0" fontId="102" fillId="0" borderId="0" xfId="2" applyFont="1" applyAlignment="1" applyProtection="1">
      <alignment vertical="center" wrapText="1" shrinkToFit="1"/>
      <protection locked="0"/>
    </xf>
    <xf numFmtId="0" fontId="6" fillId="7" borderId="0" xfId="2" applyFont="1" applyFill="1" applyAlignment="1" applyProtection="1">
      <alignment horizontal="left" vertical="center" shrinkToFit="1"/>
      <protection locked="0"/>
    </xf>
    <xf numFmtId="0" fontId="22" fillId="6" borderId="0" xfId="2" applyFont="1" applyFill="1" applyAlignment="1" applyProtection="1">
      <alignment horizontal="left" vertical="top" wrapText="1"/>
      <protection locked="0"/>
    </xf>
    <xf numFmtId="0" fontId="22" fillId="6" borderId="0" xfId="2" applyFont="1" applyFill="1" applyAlignment="1" applyProtection="1">
      <alignment horizontal="left" vertical="top"/>
      <protection locked="0"/>
    </xf>
    <xf numFmtId="0" fontId="9" fillId="6" borderId="0" xfId="2" applyFont="1" applyFill="1" applyAlignment="1" applyProtection="1">
      <protection locked="0"/>
    </xf>
    <xf numFmtId="0" fontId="34" fillId="6" borderId="0" xfId="2" applyFont="1" applyFill="1" applyAlignment="1" applyProtection="1">
      <protection locked="0"/>
    </xf>
    <xf numFmtId="0" fontId="66" fillId="6" borderId="30" xfId="2" applyFont="1" applyFill="1" applyBorder="1" applyAlignment="1" applyProtection="1">
      <alignment horizontal="right" vertical="top"/>
      <protection locked="0"/>
    </xf>
    <xf numFmtId="0" fontId="66" fillId="6" borderId="0" xfId="2" applyFont="1" applyFill="1" applyAlignment="1" applyProtection="1">
      <alignment horizontal="left" vertical="top" wrapText="1"/>
      <protection locked="0"/>
    </xf>
    <xf numFmtId="0" fontId="34" fillId="6" borderId="0" xfId="2" applyFont="1" applyFill="1" applyAlignment="1" applyProtection="1">
      <alignment horizontal="left"/>
      <protection locked="0"/>
    </xf>
    <xf numFmtId="0" fontId="22" fillId="6" borderId="0" xfId="2" applyFont="1" applyFill="1" applyAlignment="1" applyProtection="1">
      <alignment horizontal="left"/>
      <protection locked="0"/>
    </xf>
    <xf numFmtId="0" fontId="34" fillId="6" borderId="0" xfId="2" applyFont="1" applyFill="1" applyAlignment="1" applyProtection="1">
      <alignment wrapText="1"/>
      <protection locked="0"/>
    </xf>
    <xf numFmtId="0" fontId="93" fillId="6" borderId="0" xfId="2" applyFont="1" applyFill="1" applyAlignment="1" applyProtection="1">
      <alignment horizontal="right" vertical="top"/>
      <protection locked="0"/>
    </xf>
    <xf numFmtId="0" fontId="103" fillId="6" borderId="0" xfId="2" applyFont="1" applyFill="1" applyAlignment="1" applyProtection="1">
      <alignment wrapText="1"/>
      <protection locked="0"/>
    </xf>
    <xf numFmtId="0" fontId="104" fillId="6" borderId="0" xfId="2" applyFont="1" applyFill="1" applyAlignment="1" applyProtection="1">
      <alignment horizontal="left" vertical="top"/>
      <protection locked="0"/>
    </xf>
    <xf numFmtId="0" fontId="66" fillId="6" borderId="0" xfId="2" applyFont="1" applyFill="1" applyAlignment="1" applyProtection="1">
      <alignment horizontal="left" vertical="top"/>
      <protection locked="0"/>
    </xf>
    <xf numFmtId="0" fontId="0" fillId="13" borderId="47" xfId="0" applyFill="1" applyBorder="1">
      <alignment vertical="center"/>
    </xf>
    <xf numFmtId="0" fontId="0" fillId="13" borderId="47" xfId="0" applyFill="1" applyBorder="1" applyAlignment="1">
      <alignment vertical="center" wrapText="1"/>
    </xf>
    <xf numFmtId="0" fontId="0" fillId="0" borderId="47" xfId="0" applyBorder="1">
      <alignment vertical="center"/>
    </xf>
    <xf numFmtId="0" fontId="0" fillId="0" borderId="0" xfId="0" applyAlignment="1">
      <alignment vertical="center" wrapText="1"/>
    </xf>
    <xf numFmtId="0" fontId="21" fillId="2" borderId="0" xfId="2" applyFont="1" applyFill="1" applyProtection="1">
      <alignment vertical="center"/>
      <protection locked="0"/>
    </xf>
    <xf numFmtId="0" fontId="7" fillId="2" borderId="0" xfId="2" applyFont="1" applyFill="1" applyProtection="1">
      <alignment vertical="center"/>
      <protection locked="0"/>
    </xf>
    <xf numFmtId="0" fontId="0" fillId="2" borderId="0" xfId="0" applyFill="1">
      <alignment vertical="center"/>
    </xf>
    <xf numFmtId="0" fontId="7" fillId="2" borderId="0" xfId="2" applyFont="1" applyFill="1" applyAlignment="1" applyProtection="1">
      <alignment horizontal="center" vertical="center"/>
      <protection locked="0"/>
    </xf>
    <xf numFmtId="0" fontId="11" fillId="2" borderId="0" xfId="2" applyFont="1" applyFill="1" applyProtection="1">
      <alignment vertical="center"/>
      <protection locked="0"/>
    </xf>
    <xf numFmtId="0" fontId="7" fillId="38" borderId="0" xfId="2" applyFont="1" applyFill="1" applyProtection="1">
      <alignment vertical="center"/>
      <protection locked="0"/>
    </xf>
    <xf numFmtId="0" fontId="7" fillId="2" borderId="10" xfId="2" applyFont="1" applyFill="1" applyBorder="1" applyProtection="1">
      <alignment vertical="center"/>
      <protection locked="0"/>
    </xf>
    <xf numFmtId="0" fontId="7" fillId="2" borderId="11" xfId="2" applyFont="1" applyFill="1" applyBorder="1" applyProtection="1">
      <alignment vertical="center"/>
      <protection locked="0"/>
    </xf>
    <xf numFmtId="0" fontId="7" fillId="2" borderId="57" xfId="2" applyFont="1" applyFill="1" applyBorder="1" applyProtection="1">
      <alignment vertical="center"/>
      <protection locked="0"/>
    </xf>
    <xf numFmtId="0" fontId="106" fillId="38" borderId="0" xfId="2" applyFont="1" applyFill="1" applyAlignment="1" applyProtection="1">
      <alignment vertical="top"/>
      <protection locked="0"/>
    </xf>
    <xf numFmtId="0" fontId="45" fillId="2" borderId="0" xfId="0" applyFont="1" applyFill="1" applyAlignment="1" applyProtection="1">
      <alignment vertical="center" shrinkToFit="1"/>
      <protection locked="0"/>
    </xf>
    <xf numFmtId="0" fontId="44" fillId="2" borderId="0" xfId="2" applyFont="1" applyFill="1" applyProtection="1">
      <alignment vertical="center"/>
      <protection locked="0"/>
    </xf>
    <xf numFmtId="0" fontId="45" fillId="2" borderId="0" xfId="2" applyFont="1" applyFill="1" applyProtection="1">
      <alignment vertical="center"/>
      <protection locked="0"/>
    </xf>
    <xf numFmtId="0" fontId="44" fillId="2" borderId="0" xfId="2" applyFont="1" applyFill="1" applyAlignment="1" applyProtection="1">
      <alignment vertical="center" textRotation="255" wrapText="1"/>
      <protection locked="0"/>
    </xf>
    <xf numFmtId="0" fontId="44" fillId="2" borderId="0" xfId="2" applyFont="1" applyFill="1" applyAlignment="1" applyProtection="1">
      <alignment vertical="center" shrinkToFit="1"/>
      <protection locked="0"/>
    </xf>
    <xf numFmtId="0" fontId="44" fillId="2" borderId="0" xfId="2" applyFont="1" applyFill="1" applyAlignment="1" applyProtection="1">
      <alignment vertical="center" wrapText="1"/>
      <protection locked="0"/>
    </xf>
    <xf numFmtId="0" fontId="22" fillId="2" borderId="6" xfId="2" applyFont="1" applyFill="1" applyBorder="1" applyAlignment="1" applyProtection="1">
      <alignment horizontal="center" vertical="center"/>
      <protection locked="0"/>
    </xf>
    <xf numFmtId="0" fontId="22" fillId="2" borderId="0" xfId="2" applyFont="1" applyFill="1" applyProtection="1">
      <alignment vertical="center"/>
      <protection locked="0"/>
    </xf>
    <xf numFmtId="0" fontId="36" fillId="2" borderId="0" xfId="0" applyFont="1" applyFill="1" applyProtection="1">
      <alignment vertical="center"/>
      <protection locked="0"/>
    </xf>
    <xf numFmtId="0" fontId="7" fillId="2" borderId="9" xfId="2" applyFont="1" applyFill="1" applyBorder="1" applyProtection="1">
      <alignment vertical="center"/>
      <protection locked="0"/>
    </xf>
    <xf numFmtId="0" fontId="45" fillId="2" borderId="0" xfId="2" applyFont="1" applyFill="1" applyAlignment="1" applyProtection="1">
      <alignment vertical="top"/>
      <protection locked="0"/>
    </xf>
    <xf numFmtId="0" fontId="44" fillId="2" borderId="0" xfId="2" quotePrefix="1" applyFont="1" applyFill="1" applyAlignment="1" applyProtection="1">
      <alignment horizontal="right" vertical="top"/>
      <protection locked="0"/>
    </xf>
    <xf numFmtId="0" fontId="29" fillId="2" borderId="0" xfId="2" applyFont="1" applyFill="1" applyProtection="1">
      <alignment vertical="center"/>
      <protection locked="0"/>
    </xf>
    <xf numFmtId="0" fontId="7" fillId="2" borderId="6" xfId="2" applyFont="1" applyFill="1" applyBorder="1" applyAlignment="1" applyProtection="1">
      <alignment vertical="top" shrinkToFit="1"/>
      <protection locked="0"/>
    </xf>
    <xf numFmtId="0" fontId="7" fillId="2" borderId="0" xfId="2" applyFont="1" applyFill="1" applyAlignment="1" applyProtection="1">
      <alignment vertical="top" shrinkToFit="1"/>
      <protection locked="0"/>
    </xf>
    <xf numFmtId="0" fontId="7" fillId="2" borderId="0" xfId="0" applyFont="1" applyFill="1" applyAlignment="1" applyProtection="1">
      <alignment vertical="center" wrapText="1" shrinkToFit="1"/>
      <protection locked="0"/>
    </xf>
    <xf numFmtId="0" fontId="9" fillId="2" borderId="6" xfId="2" applyFont="1" applyFill="1" applyBorder="1" applyAlignment="1" applyProtection="1">
      <alignment horizontal="center" vertical="center"/>
      <protection locked="0"/>
    </xf>
    <xf numFmtId="0" fontId="108" fillId="2" borderId="0" xfId="0" applyFont="1" applyFill="1" applyProtection="1">
      <alignment vertical="center"/>
      <protection locked="0"/>
    </xf>
    <xf numFmtId="0" fontId="109" fillId="2" borderId="0" xfId="0" applyFont="1" applyFill="1" applyAlignment="1" applyProtection="1">
      <alignment vertical="center" wrapText="1"/>
      <protection locked="0"/>
    </xf>
    <xf numFmtId="0" fontId="14" fillId="2" borderId="6" xfId="0" applyFont="1" applyFill="1" applyBorder="1" applyAlignment="1" applyProtection="1">
      <alignment vertical="center" wrapText="1"/>
      <protection locked="0"/>
    </xf>
    <xf numFmtId="0" fontId="110" fillId="2" borderId="0" xfId="2" applyFont="1" applyFill="1" applyAlignment="1" applyProtection="1">
      <alignment horizontal="center" vertical="center"/>
      <protection locked="0"/>
    </xf>
    <xf numFmtId="0" fontId="52" fillId="2" borderId="20" xfId="2" applyFont="1" applyFill="1" applyBorder="1" applyProtection="1">
      <alignment vertical="center"/>
      <protection locked="0"/>
    </xf>
    <xf numFmtId="0" fontId="52" fillId="2" borderId="21" xfId="2" applyFont="1" applyFill="1" applyBorder="1" applyProtection="1">
      <alignment vertical="center"/>
      <protection locked="0"/>
    </xf>
    <xf numFmtId="0" fontId="0" fillId="0" borderId="28" xfId="0" applyBorder="1">
      <alignment vertical="center"/>
    </xf>
    <xf numFmtId="0" fontId="0" fillId="0" borderId="20" xfId="0" applyBorder="1">
      <alignment vertical="center"/>
    </xf>
    <xf numFmtId="0" fontId="0" fillId="0" borderId="21" xfId="0" applyBorder="1">
      <alignment vertical="center"/>
    </xf>
    <xf numFmtId="0" fontId="34" fillId="0" borderId="161" xfId="0" applyFont="1" applyBorder="1" applyAlignment="1" applyProtection="1">
      <alignment horizontal="center" vertical="center"/>
      <protection locked="0"/>
    </xf>
    <xf numFmtId="0" fontId="10" fillId="2" borderId="5" xfId="2" applyFont="1" applyFill="1" applyBorder="1" applyProtection="1">
      <alignment vertical="center"/>
      <protection locked="0"/>
    </xf>
    <xf numFmtId="0" fontId="108" fillId="2" borderId="5" xfId="0" applyFont="1" applyFill="1" applyBorder="1" applyProtection="1">
      <alignment vertical="center"/>
      <protection locked="0"/>
    </xf>
    <xf numFmtId="0" fontId="109" fillId="2" borderId="5" xfId="0" applyFont="1" applyFill="1" applyBorder="1" applyAlignment="1" applyProtection="1">
      <alignment vertical="center" wrapText="1"/>
      <protection locked="0"/>
    </xf>
    <xf numFmtId="0" fontId="7" fillId="2" borderId="14" xfId="2" applyFont="1" applyFill="1" applyBorder="1" applyProtection="1">
      <alignment vertical="center"/>
      <protection locked="0"/>
    </xf>
    <xf numFmtId="0" fontId="34" fillId="2" borderId="6" xfId="2" applyFont="1" applyFill="1" applyBorder="1" applyAlignment="1" applyProtection="1">
      <alignment horizontal="center" vertical="center"/>
      <protection locked="0"/>
    </xf>
    <xf numFmtId="0" fontId="110" fillId="2" borderId="0" xfId="0" applyFont="1" applyFill="1" applyAlignment="1" applyProtection="1">
      <alignment horizontal="left"/>
      <protection locked="0"/>
    </xf>
    <xf numFmtId="0" fontId="0" fillId="0" borderId="67" xfId="0" applyBorder="1">
      <alignment vertical="center"/>
    </xf>
    <xf numFmtId="0" fontId="0" fillId="0" borderId="17" xfId="0" applyBorder="1">
      <alignment vertical="center"/>
    </xf>
    <xf numFmtId="0" fontId="0" fillId="0" borderId="18" xfId="0" applyBorder="1">
      <alignment vertical="center"/>
    </xf>
    <xf numFmtId="0" fontId="28" fillId="2" borderId="0" xfId="2" applyFont="1" applyFill="1" applyProtection="1">
      <alignment vertical="center"/>
      <protection locked="0"/>
    </xf>
    <xf numFmtId="0" fontId="10" fillId="2" borderId="0" xfId="2" quotePrefix="1" applyFont="1" applyFill="1" applyAlignment="1" applyProtection="1">
      <alignment horizontal="right" vertical="top"/>
      <protection locked="0"/>
    </xf>
    <xf numFmtId="0" fontId="28" fillId="2" borderId="0" xfId="2" applyFont="1" applyFill="1" applyAlignment="1" applyProtection="1">
      <alignment horizontal="left" vertical="top" wrapText="1"/>
      <protection locked="0"/>
    </xf>
    <xf numFmtId="0" fontId="12" fillId="2" borderId="0" xfId="2" applyFont="1" applyFill="1" applyProtection="1">
      <alignment vertical="center"/>
      <protection locked="0"/>
    </xf>
    <xf numFmtId="0" fontId="56" fillId="2" borderId="17" xfId="0" applyFont="1" applyFill="1" applyBorder="1" applyAlignment="1" applyProtection="1">
      <alignment horizontal="center" vertical="center"/>
      <protection locked="0"/>
    </xf>
    <xf numFmtId="0" fontId="58" fillId="2" borderId="17" xfId="0" applyFont="1" applyFill="1" applyBorder="1" applyAlignment="1" applyProtection="1">
      <alignment horizontal="center" vertical="center"/>
      <protection locked="0"/>
    </xf>
    <xf numFmtId="0" fontId="58" fillId="2" borderId="18" xfId="0" applyFont="1" applyFill="1" applyBorder="1" applyAlignment="1" applyProtection="1">
      <alignment horizontal="center" vertical="center"/>
      <protection locked="0"/>
    </xf>
    <xf numFmtId="0" fontId="6" fillId="38" borderId="0" xfId="2" applyFont="1" applyFill="1" applyProtection="1">
      <alignment vertical="center"/>
      <protection locked="0"/>
    </xf>
    <xf numFmtId="0" fontId="0" fillId="2" borderId="0" xfId="0" applyFill="1" applyProtection="1">
      <alignment vertical="center"/>
      <protection locked="0"/>
    </xf>
    <xf numFmtId="0" fontId="108" fillId="2" borderId="0" xfId="0" applyFont="1" applyFill="1" applyAlignment="1" applyProtection="1">
      <protection locked="0"/>
    </xf>
    <xf numFmtId="0" fontId="62" fillId="38" borderId="0" xfId="0" applyFont="1" applyFill="1" applyProtection="1">
      <alignment vertical="center"/>
      <protection locked="0"/>
    </xf>
    <xf numFmtId="0" fontId="7" fillId="2" borderId="0" xfId="0" applyFont="1" applyFill="1" applyProtection="1">
      <alignment vertical="center"/>
      <protection locked="0"/>
    </xf>
    <xf numFmtId="0" fontId="7" fillId="2" borderId="19" xfId="2" applyFont="1" applyFill="1" applyBorder="1" applyProtection="1">
      <alignment vertical="center"/>
      <protection locked="0"/>
    </xf>
    <xf numFmtId="0" fontId="7" fillId="2" borderId="16" xfId="2" applyFont="1" applyFill="1" applyBorder="1" applyProtection="1">
      <alignment vertical="center"/>
      <protection locked="0"/>
    </xf>
    <xf numFmtId="0" fontId="7" fillId="2" borderId="34" xfId="2" applyFont="1" applyFill="1" applyBorder="1" applyAlignment="1" applyProtection="1">
      <alignment vertical="center" shrinkToFit="1"/>
      <protection locked="0"/>
    </xf>
    <xf numFmtId="0" fontId="0" fillId="13" borderId="0" xfId="0" applyFill="1">
      <alignment vertical="center"/>
    </xf>
    <xf numFmtId="0" fontId="7" fillId="2" borderId="15" xfId="2" applyFont="1" applyFill="1" applyBorder="1" applyAlignment="1" applyProtection="1">
      <alignment vertical="center" shrinkToFit="1"/>
      <protection locked="0"/>
    </xf>
    <xf numFmtId="0" fontId="52" fillId="2" borderId="15" xfId="2" applyFont="1" applyFill="1" applyBorder="1" applyAlignment="1" applyProtection="1">
      <alignment vertical="center" shrinkToFit="1"/>
      <protection locked="0"/>
    </xf>
    <xf numFmtId="0" fontId="52" fillId="2" borderId="34" xfId="2" applyFont="1" applyFill="1" applyBorder="1" applyAlignment="1" applyProtection="1">
      <alignment vertical="center" shrinkToFit="1"/>
      <protection locked="0"/>
    </xf>
    <xf numFmtId="0" fontId="52" fillId="2" borderId="14" xfId="2" applyFont="1" applyFill="1" applyBorder="1" applyAlignment="1" applyProtection="1">
      <alignment vertical="center" shrinkToFi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45" fillId="2" borderId="0" xfId="2" applyFont="1" applyFill="1" applyAlignment="1" applyProtection="1">
      <alignment horizontal="center" vertical="center"/>
      <protection locked="0"/>
    </xf>
    <xf numFmtId="0" fontId="7" fillId="2" borderId="52" xfId="2" applyFont="1" applyFill="1" applyBorder="1" applyAlignment="1" applyProtection="1">
      <alignment vertical="center" wrapText="1"/>
      <protection locked="0"/>
    </xf>
    <xf numFmtId="0" fontId="10" fillId="2" borderId="0" xfId="2" applyFont="1" applyFill="1" applyAlignment="1" applyProtection="1">
      <alignment horizontal="left" vertical="top" wrapText="1"/>
      <protection locked="0"/>
    </xf>
    <xf numFmtId="177" fontId="7" fillId="2" borderId="0" xfId="2" applyNumberFormat="1" applyFont="1" applyFill="1" applyAlignment="1" applyProtection="1">
      <alignment horizontal="right" vertical="center"/>
      <protection locked="0"/>
    </xf>
    <xf numFmtId="0" fontId="7" fillId="2" borderId="0" xfId="2" applyFont="1" applyFill="1" applyAlignment="1" applyProtection="1">
      <alignment horizontal="right" vertical="center"/>
      <protection locked="0"/>
    </xf>
    <xf numFmtId="0" fontId="7" fillId="2" borderId="0" xfId="2" applyFont="1" applyFill="1" applyAlignment="1" applyProtection="1">
      <alignment horizontal="distributed" vertical="center"/>
      <protection locked="0"/>
    </xf>
    <xf numFmtId="0" fontId="13" fillId="2" borderId="0" xfId="2" applyFont="1" applyFill="1" applyProtection="1">
      <alignment vertical="center"/>
      <protection locked="0"/>
    </xf>
    <xf numFmtId="0" fontId="62" fillId="2" borderId="0" xfId="0" applyFont="1" applyFill="1" applyProtection="1">
      <alignment vertical="center"/>
      <protection locked="0"/>
    </xf>
    <xf numFmtId="0" fontId="7" fillId="2" borderId="78" xfId="2" applyFont="1" applyFill="1" applyBorder="1" applyAlignment="1" applyProtection="1">
      <alignment vertical="center" wrapText="1"/>
      <protection locked="0"/>
    </xf>
    <xf numFmtId="0" fontId="7" fillId="2" borderId="44" xfId="2" applyFont="1" applyFill="1" applyBorder="1" applyAlignment="1" applyProtection="1">
      <alignment vertical="center" textRotation="255" shrinkToFit="1"/>
      <protection locked="0"/>
    </xf>
    <xf numFmtId="0" fontId="92" fillId="0" borderId="0" xfId="0" applyFont="1" applyAlignment="1">
      <alignment vertical="center" wrapText="1"/>
    </xf>
    <xf numFmtId="177" fontId="26" fillId="5" borderId="49" xfId="2" applyNumberFormat="1" applyFont="1" applyFill="1" applyBorder="1" applyAlignment="1" applyProtection="1">
      <alignment horizontal="right" vertical="center"/>
      <protection locked="0"/>
    </xf>
    <xf numFmtId="177" fontId="26" fillId="5" borderId="46" xfId="2" applyNumberFormat="1" applyFont="1" applyFill="1" applyBorder="1" applyAlignment="1" applyProtection="1">
      <alignment horizontal="right" vertical="center"/>
      <protection locked="0"/>
    </xf>
    <xf numFmtId="177" fontId="26" fillId="5" borderId="22" xfId="2" applyNumberFormat="1" applyFont="1" applyFill="1" applyBorder="1" applyAlignment="1" applyProtection="1">
      <alignment horizontal="right" vertical="center"/>
      <protection locked="0"/>
    </xf>
    <xf numFmtId="0" fontId="44" fillId="2" borderId="0" xfId="2" applyFont="1" applyFill="1" applyAlignment="1" applyProtection="1">
      <alignment vertical="top"/>
      <protection locked="0"/>
    </xf>
    <xf numFmtId="176" fontId="44" fillId="2" borderId="0" xfId="2" applyNumberFormat="1" applyFont="1" applyFill="1" applyAlignment="1" applyProtection="1">
      <alignment vertical="top" wrapText="1"/>
      <protection locked="0"/>
    </xf>
    <xf numFmtId="0" fontId="115" fillId="2" borderId="0" xfId="2" applyFont="1" applyFill="1" applyProtection="1">
      <alignment vertical="center"/>
      <protection locked="0"/>
    </xf>
    <xf numFmtId="176" fontId="10" fillId="2" borderId="0" xfId="2" applyNumberFormat="1" applyFont="1" applyFill="1" applyAlignment="1" applyProtection="1">
      <alignment vertical="top" wrapText="1"/>
      <protection locked="0"/>
    </xf>
    <xf numFmtId="0" fontId="4" fillId="38" borderId="0" xfId="2" applyFont="1" applyFill="1" applyProtection="1">
      <alignment vertical="center"/>
      <protection locked="0"/>
    </xf>
    <xf numFmtId="0" fontId="4" fillId="38" borderId="0" xfId="2" applyFont="1" applyFill="1" applyAlignment="1" applyProtection="1">
      <alignment horizontal="right" vertical="center"/>
      <protection locked="0"/>
    </xf>
    <xf numFmtId="0" fontId="34" fillId="2" borderId="0" xfId="2" applyFont="1" applyFill="1" applyAlignment="1" applyProtection="1">
      <alignment horizontal="right" vertical="center"/>
      <protection locked="0"/>
    </xf>
    <xf numFmtId="177" fontId="26" fillId="2" borderId="21" xfId="2" applyNumberFormat="1" applyFont="1" applyFill="1" applyBorder="1" applyAlignment="1" applyProtection="1">
      <alignment horizontal="left" vertical="center"/>
      <protection locked="0"/>
    </xf>
    <xf numFmtId="177" fontId="26" fillId="2" borderId="58" xfId="2" applyNumberFormat="1" applyFont="1" applyFill="1" applyBorder="1" applyAlignment="1" applyProtection="1">
      <alignment horizontal="left" vertical="center"/>
      <protection locked="0"/>
    </xf>
    <xf numFmtId="177" fontId="26" fillId="2" borderId="49" xfId="2" applyNumberFormat="1" applyFont="1" applyFill="1" applyBorder="1" applyAlignment="1" applyProtection="1">
      <alignment horizontal="left" vertical="center"/>
      <protection locked="0"/>
    </xf>
    <xf numFmtId="177" fontId="26" fillId="2" borderId="80" xfId="2" applyNumberFormat="1" applyFont="1" applyFill="1" applyBorder="1" applyAlignment="1" applyProtection="1">
      <alignment horizontal="left" vertical="center"/>
      <protection locked="0"/>
    </xf>
    <xf numFmtId="177" fontId="26" fillId="2" borderId="100" xfId="2" applyNumberFormat="1" applyFont="1" applyFill="1" applyBorder="1" applyAlignment="1" applyProtection="1">
      <alignment horizontal="left" vertical="center"/>
      <protection locked="0"/>
    </xf>
    <xf numFmtId="177" fontId="26" fillId="2" borderId="41" xfId="2" applyNumberFormat="1" applyFont="1" applyFill="1" applyBorder="1" applyAlignment="1" applyProtection="1">
      <alignment horizontal="left" vertical="center"/>
      <protection locked="0"/>
    </xf>
    <xf numFmtId="177" fontId="26" fillId="2" borderId="56" xfId="2" applyNumberFormat="1" applyFont="1" applyFill="1" applyBorder="1" applyAlignment="1" applyProtection="1">
      <alignment horizontal="left" vertical="center"/>
      <protection locked="0"/>
    </xf>
    <xf numFmtId="177" fontId="26" fillId="2" borderId="94" xfId="2" applyNumberFormat="1" applyFont="1" applyFill="1" applyBorder="1" applyAlignment="1" applyProtection="1">
      <alignment horizontal="left" vertical="center"/>
      <protection locked="0"/>
    </xf>
    <xf numFmtId="177" fontId="26" fillId="2" borderId="59" xfId="2" applyNumberFormat="1" applyFont="1" applyFill="1" applyBorder="1" applyAlignment="1" applyProtection="1">
      <alignment horizontal="left" vertical="center"/>
      <protection locked="0"/>
    </xf>
    <xf numFmtId="0" fontId="20" fillId="0" borderId="47" xfId="2" applyFont="1" applyBorder="1" applyAlignment="1" applyProtection="1">
      <alignment horizontal="left" vertical="center"/>
      <protection locked="0"/>
    </xf>
    <xf numFmtId="0" fontId="21" fillId="0" borderId="47" xfId="2" applyFont="1" applyBorder="1" applyAlignment="1" applyProtection="1">
      <alignment horizontal="left" vertical="center"/>
      <protection locked="0"/>
    </xf>
    <xf numFmtId="0" fontId="4" fillId="8" borderId="47" xfId="2" applyFont="1" applyFill="1" applyBorder="1" applyAlignment="1" applyProtection="1">
      <alignment horizontal="center" vertical="center"/>
      <protection locked="0"/>
    </xf>
    <xf numFmtId="0" fontId="116" fillId="8" borderId="47" xfId="2" applyFont="1" applyFill="1" applyBorder="1" applyAlignment="1" applyProtection="1">
      <alignment horizontal="center" vertical="center"/>
      <protection locked="0"/>
    </xf>
    <xf numFmtId="0" fontId="21" fillId="0" borderId="47" xfId="2" applyFont="1" applyBorder="1" applyAlignment="1" applyProtection="1">
      <alignment horizontal="center" vertical="center"/>
      <protection locked="0"/>
    </xf>
    <xf numFmtId="0" fontId="2" fillId="8" borderId="0" xfId="2" applyFill="1" applyAlignment="1" applyProtection="1">
      <alignment horizontal="center" vertical="center"/>
      <protection locked="0"/>
    </xf>
    <xf numFmtId="0" fontId="31" fillId="0" borderId="47" xfId="2" applyFont="1" applyBorder="1" applyAlignment="1" applyProtection="1">
      <alignment horizontal="center" vertical="center"/>
      <protection locked="0"/>
    </xf>
    <xf numFmtId="0" fontId="2" fillId="26" borderId="47" xfId="2" applyFill="1" applyBorder="1" applyAlignment="1">
      <alignment horizontal="center" vertical="center"/>
    </xf>
    <xf numFmtId="0" fontId="20" fillId="0" borderId="0" xfId="1" applyFont="1" applyAlignment="1">
      <alignment horizontal="left" vertical="center"/>
    </xf>
    <xf numFmtId="0" fontId="20" fillId="4" borderId="0" xfId="1" applyFont="1" applyFill="1" applyAlignment="1">
      <alignment horizontal="left" vertical="center"/>
    </xf>
    <xf numFmtId="0" fontId="7" fillId="8" borderId="0" xfId="2" applyFont="1" applyFill="1">
      <alignment vertical="center"/>
    </xf>
    <xf numFmtId="0" fontId="20" fillId="0" borderId="0" xfId="1" applyFont="1">
      <alignment vertical="center"/>
    </xf>
    <xf numFmtId="0" fontId="20" fillId="0" borderId="0" xfId="1" applyFont="1" applyAlignment="1">
      <alignment horizontal="left" vertical="center" wrapText="1"/>
    </xf>
    <xf numFmtId="0" fontId="20" fillId="0" borderId="0" xfId="1" applyFont="1" applyAlignment="1">
      <alignment vertical="center" wrapText="1"/>
    </xf>
    <xf numFmtId="0" fontId="20" fillId="0" borderId="6" xfId="2" applyFont="1" applyBorder="1" applyAlignment="1">
      <alignment vertical="center" wrapText="1"/>
    </xf>
    <xf numFmtId="0" fontId="20" fillId="0" borderId="0" xfId="1" applyFont="1" applyAlignment="1">
      <alignment horizontal="left" vertical="top"/>
    </xf>
    <xf numFmtId="0" fontId="20" fillId="0" borderId="0" xfId="2" applyFont="1" applyAlignment="1">
      <alignment horizontal="left" vertical="center" wrapText="1"/>
    </xf>
    <xf numFmtId="0" fontId="26" fillId="0" borderId="0" xfId="2" applyFont="1">
      <alignment vertical="center"/>
    </xf>
    <xf numFmtId="0" fontId="25" fillId="0" borderId="0" xfId="2" applyFont="1">
      <alignment vertical="center"/>
    </xf>
    <xf numFmtId="0" fontId="20" fillId="0" borderId="0" xfId="2" applyFont="1">
      <alignment vertical="center"/>
    </xf>
    <xf numFmtId="0" fontId="19" fillId="8" borderId="0" xfId="2" applyFont="1" applyFill="1">
      <alignment vertical="center"/>
    </xf>
    <xf numFmtId="0" fontId="19" fillId="8" borderId="0" xfId="2" applyFont="1" applyFill="1" applyAlignment="1">
      <alignment horizontal="left" vertical="center" wrapText="1"/>
    </xf>
    <xf numFmtId="0" fontId="19" fillId="0" borderId="0" xfId="1" applyFont="1" applyAlignment="1">
      <alignment horizontal="left" vertical="center" wrapText="1"/>
    </xf>
    <xf numFmtId="0" fontId="19" fillId="0" borderId="0" xfId="2" applyFont="1" applyAlignment="1">
      <alignment horizontal="left" vertical="center" wrapText="1"/>
    </xf>
    <xf numFmtId="0" fontId="78" fillId="0" borderId="0" xfId="2" applyFont="1" applyAlignment="1">
      <alignment vertical="center" wrapText="1"/>
    </xf>
    <xf numFmtId="0" fontId="78" fillId="0" borderId="0" xfId="2" applyFont="1">
      <alignment vertical="center"/>
    </xf>
    <xf numFmtId="0" fontId="78" fillId="0" borderId="0" xfId="2" applyFont="1" applyAlignment="1">
      <alignment horizontal="left" vertical="center"/>
    </xf>
    <xf numFmtId="0" fontId="78" fillId="0" borderId="6" xfId="2" applyFont="1" applyBorder="1">
      <alignment vertical="center"/>
    </xf>
    <xf numFmtId="0" fontId="31" fillId="0" borderId="0" xfId="2" applyFont="1" applyAlignment="1">
      <alignment vertical="center" wrapText="1"/>
    </xf>
    <xf numFmtId="0" fontId="31" fillId="0" borderId="0" xfId="2" applyFont="1">
      <alignment vertical="center"/>
    </xf>
    <xf numFmtId="0" fontId="28" fillId="12" borderId="90" xfId="2" applyFont="1" applyFill="1" applyBorder="1" applyAlignment="1" applyProtection="1">
      <alignment horizontal="center" vertical="center"/>
      <protection locked="0"/>
    </xf>
    <xf numFmtId="0" fontId="28" fillId="12" borderId="91" xfId="2" applyFont="1" applyFill="1" applyBorder="1" applyAlignment="1" applyProtection="1">
      <alignment horizontal="center" vertical="center"/>
      <protection locked="0"/>
    </xf>
    <xf numFmtId="177" fontId="22" fillId="39" borderId="99" xfId="2" applyNumberFormat="1" applyFont="1" applyFill="1" applyBorder="1" applyAlignment="1">
      <alignment horizontal="right" vertical="center"/>
    </xf>
    <xf numFmtId="177" fontId="22" fillId="39" borderId="50" xfId="2" applyNumberFormat="1" applyFont="1" applyFill="1" applyBorder="1" applyAlignment="1">
      <alignment horizontal="right" vertical="center"/>
    </xf>
    <xf numFmtId="0" fontId="22" fillId="4" borderId="81" xfId="2" applyFont="1" applyFill="1" applyBorder="1" applyAlignment="1" applyProtection="1">
      <alignment horizontal="center" vertical="center" textRotation="255" shrinkToFit="1"/>
      <protection locked="0"/>
    </xf>
    <xf numFmtId="0" fontId="22" fillId="4" borderId="128" xfId="2" applyFont="1" applyFill="1" applyBorder="1" applyAlignment="1" applyProtection="1">
      <alignment horizontal="center" vertical="center" textRotation="255" shrinkToFit="1"/>
      <protection locked="0"/>
    </xf>
    <xf numFmtId="0" fontId="22" fillId="4" borderId="69" xfId="2" applyFont="1" applyFill="1" applyBorder="1" applyAlignment="1" applyProtection="1">
      <alignment horizontal="center" vertical="center" textRotation="255" shrinkToFit="1"/>
      <protection locked="0"/>
    </xf>
    <xf numFmtId="0" fontId="22" fillId="4" borderId="47" xfId="2" applyFont="1" applyFill="1" applyBorder="1" applyAlignment="1" applyProtection="1">
      <alignment horizontal="center" vertical="center" textRotation="255" shrinkToFit="1"/>
      <protection locked="0"/>
    </xf>
    <xf numFmtId="0" fontId="22" fillId="4" borderId="83" xfId="2" applyFont="1" applyFill="1" applyBorder="1" applyAlignment="1" applyProtection="1">
      <alignment horizontal="center" vertical="center" textRotation="255" shrinkToFit="1"/>
      <protection locked="0"/>
    </xf>
    <xf numFmtId="0" fontId="22" fillId="4" borderId="84" xfId="2" applyFont="1" applyFill="1" applyBorder="1" applyAlignment="1" applyProtection="1">
      <alignment horizontal="center" vertical="center" textRotation="255" shrinkToFit="1"/>
      <protection locked="0"/>
    </xf>
    <xf numFmtId="0" fontId="28" fillId="4" borderId="127" xfId="2" applyFont="1" applyFill="1" applyBorder="1" applyAlignment="1" applyProtection="1">
      <alignment horizontal="center" vertical="center"/>
      <protection locked="0"/>
    </xf>
    <xf numFmtId="177" fontId="22" fillId="0" borderId="36" xfId="2" applyNumberFormat="1" applyFont="1" applyBorder="1" applyAlignment="1" applyProtection="1">
      <alignment horizontal="right" vertical="center"/>
      <protection locked="0"/>
    </xf>
    <xf numFmtId="177" fontId="22" fillId="0" borderId="60" xfId="2" applyNumberFormat="1" applyFont="1" applyBorder="1" applyAlignment="1" applyProtection="1">
      <alignment horizontal="right" vertical="center"/>
      <protection locked="0"/>
    </xf>
    <xf numFmtId="0" fontId="22" fillId="12" borderId="81" xfId="2" applyFont="1" applyFill="1" applyBorder="1" applyAlignment="1" applyProtection="1">
      <alignment horizontal="center" vertical="center" textRotation="255" shrinkToFit="1"/>
      <protection locked="0"/>
    </xf>
    <xf numFmtId="0" fontId="22" fillId="12" borderId="128" xfId="2" applyFont="1" applyFill="1" applyBorder="1" applyAlignment="1" applyProtection="1">
      <alignment horizontal="center" vertical="center" textRotation="255" shrinkToFit="1"/>
      <protection locked="0"/>
    </xf>
    <xf numFmtId="0" fontId="22" fillId="12" borderId="69" xfId="2" applyFont="1" applyFill="1" applyBorder="1" applyAlignment="1" applyProtection="1">
      <alignment horizontal="center" vertical="center" textRotation="255" shrinkToFit="1"/>
      <protection locked="0"/>
    </xf>
    <xf numFmtId="0" fontId="22" fillId="12" borderId="47" xfId="2" applyFont="1" applyFill="1" applyBorder="1" applyAlignment="1" applyProtection="1">
      <alignment horizontal="center" vertical="center" textRotation="255" shrinkToFit="1"/>
      <protection locked="0"/>
    </xf>
    <xf numFmtId="0" fontId="22" fillId="12" borderId="83" xfId="2" applyFont="1" applyFill="1" applyBorder="1" applyAlignment="1" applyProtection="1">
      <alignment horizontal="center" vertical="center" textRotation="255" shrinkToFit="1"/>
      <protection locked="0"/>
    </xf>
    <xf numFmtId="0" fontId="22" fillId="12" borderId="84" xfId="2" applyFont="1" applyFill="1" applyBorder="1" applyAlignment="1" applyProtection="1">
      <alignment horizontal="center" vertical="center" textRotation="255" shrinkToFit="1"/>
      <protection locked="0"/>
    </xf>
    <xf numFmtId="0" fontId="28" fillId="4" borderId="90" xfId="2" applyFont="1" applyFill="1" applyBorder="1" applyAlignment="1" applyProtection="1">
      <alignment horizontal="center" vertical="center"/>
      <protection locked="0"/>
    </xf>
    <xf numFmtId="0" fontId="28" fillId="4" borderId="91" xfId="2" applyFont="1" applyFill="1" applyBorder="1" applyAlignment="1" applyProtection="1">
      <alignment horizontal="center" vertical="center"/>
      <protection locked="0"/>
    </xf>
    <xf numFmtId="0" fontId="28" fillId="4" borderId="125" xfId="2" applyFont="1" applyFill="1" applyBorder="1" applyAlignment="1" applyProtection="1">
      <alignment horizontal="center" vertical="center"/>
      <protection locked="0"/>
    </xf>
    <xf numFmtId="177" fontId="22" fillId="0" borderId="29" xfId="2" applyNumberFormat="1" applyFont="1" applyBorder="1" applyAlignment="1" applyProtection="1">
      <alignment horizontal="right" vertical="center"/>
      <protection locked="0"/>
    </xf>
    <xf numFmtId="177" fontId="22" fillId="0" borderId="42" xfId="2" applyNumberFormat="1" applyFont="1" applyBorder="1" applyAlignment="1" applyProtection="1">
      <alignment horizontal="right" vertical="center"/>
      <protection locked="0"/>
    </xf>
    <xf numFmtId="0" fontId="28" fillId="12" borderId="125" xfId="2" applyFont="1" applyFill="1" applyBorder="1" applyAlignment="1" applyProtection="1">
      <alignment horizontal="center" vertical="center"/>
      <protection locked="0"/>
    </xf>
    <xf numFmtId="0" fontId="28" fillId="2" borderId="90" xfId="2" applyFont="1" applyFill="1" applyBorder="1" applyAlignment="1" applyProtection="1">
      <alignment horizontal="center" vertical="center" shrinkToFit="1"/>
      <protection locked="0"/>
    </xf>
    <xf numFmtId="0" fontId="28" fillId="2" borderId="91" xfId="2" applyFont="1" applyFill="1" applyBorder="1" applyAlignment="1" applyProtection="1">
      <alignment horizontal="center" vertical="center" shrinkToFit="1"/>
      <protection locked="0"/>
    </xf>
    <xf numFmtId="177" fontId="22" fillId="5" borderId="99" xfId="2" applyNumberFormat="1" applyFont="1" applyFill="1" applyBorder="1" applyAlignment="1">
      <alignment horizontal="right" vertical="center" shrinkToFit="1"/>
    </xf>
    <xf numFmtId="177" fontId="22" fillId="5" borderId="50" xfId="2" applyNumberFormat="1" applyFont="1" applyFill="1" applyBorder="1" applyAlignment="1">
      <alignment horizontal="right" vertical="center" shrinkToFit="1"/>
    </xf>
    <xf numFmtId="177" fontId="22" fillId="5" borderId="99" xfId="2" applyNumberFormat="1" applyFont="1" applyFill="1" applyBorder="1" applyAlignment="1">
      <alignment horizontal="right" vertical="center"/>
    </xf>
    <xf numFmtId="177" fontId="22" fillId="5" borderId="50" xfId="2" applyNumberFormat="1" applyFont="1" applyFill="1" applyBorder="1" applyAlignment="1">
      <alignment horizontal="right" vertical="center"/>
    </xf>
    <xf numFmtId="0" fontId="28" fillId="12" borderId="127" xfId="2" applyFont="1" applyFill="1" applyBorder="1" applyAlignment="1" applyProtection="1">
      <alignment horizontal="center" vertical="center"/>
      <protection locked="0"/>
    </xf>
    <xf numFmtId="0" fontId="7" fillId="2" borderId="78" xfId="2" applyFont="1" applyFill="1" applyBorder="1" applyAlignment="1" applyProtection="1">
      <alignment horizontal="center" vertical="center" wrapText="1"/>
      <protection locked="0"/>
    </xf>
    <xf numFmtId="0" fontId="7" fillId="2" borderId="77" xfId="2" applyFont="1" applyFill="1" applyBorder="1" applyAlignment="1" applyProtection="1">
      <alignment horizontal="center" vertical="center" wrapText="1"/>
      <protection locked="0"/>
    </xf>
    <xf numFmtId="0" fontId="7" fillId="2" borderId="45" xfId="2" applyFont="1" applyFill="1" applyBorder="1" applyAlignment="1" applyProtection="1">
      <alignment horizontal="center" vertical="center" wrapText="1"/>
      <protection locked="0"/>
    </xf>
    <xf numFmtId="0" fontId="28" fillId="2" borderId="121" xfId="2" applyFont="1" applyFill="1" applyBorder="1" applyAlignment="1" applyProtection="1">
      <alignment horizontal="distributed" vertical="center"/>
      <protection locked="0"/>
    </xf>
    <xf numFmtId="0" fontId="22" fillId="2" borderId="69" xfId="2" applyFont="1" applyFill="1" applyBorder="1" applyAlignment="1" applyProtection="1">
      <alignment horizontal="center" vertical="center" textRotation="255" shrinkToFit="1"/>
      <protection locked="0"/>
    </xf>
    <xf numFmtId="0" fontId="22" fillId="2" borderId="47" xfId="2" applyFont="1" applyFill="1" applyBorder="1" applyAlignment="1" applyProtection="1">
      <alignment horizontal="center" vertical="center" textRotation="255" shrinkToFit="1"/>
      <protection locked="0"/>
    </xf>
    <xf numFmtId="0" fontId="22" fillId="2" borderId="70" xfId="2" applyFont="1" applyFill="1" applyBorder="1" applyAlignment="1" applyProtection="1">
      <alignment horizontal="center" vertical="center" textRotation="255" shrinkToFit="1"/>
      <protection locked="0"/>
    </xf>
    <xf numFmtId="0" fontId="22" fillId="2" borderId="28" xfId="2" applyFont="1" applyFill="1" applyBorder="1" applyAlignment="1" applyProtection="1">
      <alignment horizontal="center" vertical="center" textRotation="255" shrinkToFit="1"/>
      <protection locked="0"/>
    </xf>
    <xf numFmtId="0" fontId="28" fillId="2" borderId="71" xfId="2" applyFont="1" applyFill="1" applyBorder="1" applyAlignment="1" applyProtection="1">
      <alignment horizontal="distributed" vertical="center"/>
      <protection locked="0"/>
    </xf>
    <xf numFmtId="177" fontId="22" fillId="0" borderId="1" xfId="2" applyNumberFormat="1" applyFont="1" applyBorder="1" applyAlignment="1" applyProtection="1">
      <alignment horizontal="right" vertical="center"/>
      <protection locked="0"/>
    </xf>
    <xf numFmtId="177" fontId="22" fillId="0" borderId="2" xfId="2" applyNumberFormat="1" applyFont="1" applyBorder="1" applyAlignment="1" applyProtection="1">
      <alignment horizontal="right" vertical="center"/>
      <protection locked="0"/>
    </xf>
    <xf numFmtId="177" fontId="26" fillId="0" borderId="20" xfId="2" applyNumberFormat="1" applyFont="1" applyBorder="1" applyAlignment="1" applyProtection="1">
      <alignment horizontal="center" vertical="top"/>
      <protection locked="0"/>
    </xf>
    <xf numFmtId="177" fontId="26" fillId="0" borderId="34" xfId="2" applyNumberFormat="1" applyFont="1" applyBorder="1" applyAlignment="1" applyProtection="1">
      <alignment horizontal="center" vertical="top"/>
      <protection locked="0"/>
    </xf>
    <xf numFmtId="177" fontId="26" fillId="0" borderId="0" xfId="2" applyNumberFormat="1" applyFont="1" applyAlignment="1" applyProtection="1">
      <alignment horizontal="center" vertical="top"/>
      <protection locked="0"/>
    </xf>
    <xf numFmtId="177" fontId="26" fillId="0" borderId="9" xfId="2" applyNumberFormat="1" applyFont="1" applyBorder="1" applyAlignment="1" applyProtection="1">
      <alignment horizontal="center" vertical="top"/>
      <protection locked="0"/>
    </xf>
    <xf numFmtId="177" fontId="26" fillId="0" borderId="5" xfId="2" applyNumberFormat="1" applyFont="1" applyBorder="1" applyAlignment="1" applyProtection="1">
      <alignment horizontal="center" vertical="top"/>
      <protection locked="0"/>
    </xf>
    <xf numFmtId="177" fontId="26" fillId="0" borderId="14" xfId="2" applyNumberFormat="1" applyFont="1" applyBorder="1" applyAlignment="1" applyProtection="1">
      <alignment horizontal="center" vertical="top"/>
      <protection locked="0"/>
    </xf>
    <xf numFmtId="177" fontId="22" fillId="0" borderId="12" xfId="2" applyNumberFormat="1" applyFont="1" applyBorder="1" applyAlignment="1" applyProtection="1">
      <alignment horizontal="right" vertical="center"/>
      <protection locked="0"/>
    </xf>
    <xf numFmtId="177" fontId="22" fillId="0" borderId="55" xfId="2" applyNumberFormat="1" applyFont="1" applyBorder="1" applyAlignment="1" applyProtection="1">
      <alignment horizontal="right" vertical="center"/>
      <protection locked="0"/>
    </xf>
    <xf numFmtId="0" fontId="28" fillId="2" borderId="125" xfId="2" applyFont="1" applyFill="1" applyBorder="1" applyAlignment="1" applyProtection="1">
      <alignment horizontal="distributed" vertical="center"/>
      <protection locked="0"/>
    </xf>
    <xf numFmtId="0" fontId="31" fillId="2" borderId="5" xfId="2" applyFont="1" applyFill="1" applyBorder="1" applyAlignment="1" applyProtection="1">
      <alignment horizontal="left" vertical="center"/>
      <protection locked="0"/>
    </xf>
    <xf numFmtId="0" fontId="36" fillId="2" borderId="5" xfId="0" applyFont="1" applyFill="1" applyBorder="1" applyProtection="1">
      <alignment vertical="center"/>
      <protection locked="0"/>
    </xf>
    <xf numFmtId="0" fontId="22" fillId="2" borderId="76" xfId="2" applyFont="1" applyFill="1" applyBorder="1" applyAlignment="1" applyProtection="1">
      <alignment horizontal="center" vertical="center"/>
      <protection locked="0"/>
    </xf>
    <xf numFmtId="0" fontId="22" fillId="2" borderId="77" xfId="2" applyFont="1" applyFill="1" applyBorder="1" applyAlignment="1" applyProtection="1">
      <alignment horizontal="center" vertical="center"/>
      <protection locked="0"/>
    </xf>
    <xf numFmtId="0" fontId="22" fillId="2" borderId="44" xfId="2" applyFont="1" applyFill="1" applyBorder="1" applyAlignment="1" applyProtection="1">
      <alignment horizontal="center" vertical="center"/>
      <protection locked="0"/>
    </xf>
    <xf numFmtId="0" fontId="7" fillId="0" borderId="77" xfId="2" applyFont="1" applyBorder="1" applyAlignment="1" applyProtection="1">
      <alignment horizontal="center" vertical="center" wrapText="1"/>
      <protection locked="0"/>
    </xf>
    <xf numFmtId="0" fontId="52" fillId="0" borderId="52" xfId="2" applyFont="1" applyBorder="1" applyAlignment="1" applyProtection="1">
      <alignment horizontal="right" vertical="center"/>
      <protection locked="0"/>
    </xf>
    <xf numFmtId="0" fontId="52" fillId="0" borderId="54" xfId="2" applyFont="1" applyBorder="1" applyAlignment="1" applyProtection="1">
      <alignment horizontal="right" vertical="center"/>
      <protection locked="0"/>
    </xf>
    <xf numFmtId="0" fontId="52" fillId="0" borderId="46" xfId="2" applyFont="1" applyBorder="1" applyAlignment="1" applyProtection="1">
      <alignment horizontal="right" vertical="center"/>
      <protection locked="0"/>
    </xf>
    <xf numFmtId="0" fontId="22" fillId="2" borderId="32" xfId="2" applyFont="1" applyFill="1" applyBorder="1" applyAlignment="1" applyProtection="1">
      <alignment horizontal="center" vertical="center"/>
      <protection locked="0"/>
    </xf>
    <xf numFmtId="0" fontId="22" fillId="2" borderId="5" xfId="2" applyFont="1" applyFill="1" applyBorder="1" applyAlignment="1" applyProtection="1">
      <alignment horizontal="center" vertical="center"/>
      <protection locked="0"/>
    </xf>
    <xf numFmtId="0" fontId="22" fillId="2" borderId="22" xfId="2" applyFont="1" applyFill="1" applyBorder="1" applyAlignment="1" applyProtection="1">
      <alignment horizontal="center" vertical="center"/>
      <protection locked="0"/>
    </xf>
    <xf numFmtId="177" fontId="22" fillId="5" borderId="33" xfId="2" applyNumberFormat="1" applyFont="1" applyFill="1" applyBorder="1" applyAlignment="1">
      <alignment horizontal="right" vertical="center"/>
    </xf>
    <xf numFmtId="177" fontId="22" fillId="5" borderId="5" xfId="2" applyNumberFormat="1" applyFont="1" applyFill="1" applyBorder="1" applyAlignment="1">
      <alignment horizontal="right" vertical="center"/>
    </xf>
    <xf numFmtId="0" fontId="52" fillId="0" borderId="33" xfId="2" applyFont="1" applyBorder="1" applyAlignment="1" applyProtection="1">
      <alignment horizontal="right" vertical="center"/>
      <protection locked="0"/>
    </xf>
    <xf numFmtId="0" fontId="52" fillId="0" borderId="5" xfId="2" applyFont="1" applyBorder="1" applyAlignment="1" applyProtection="1">
      <alignment horizontal="right" vertical="center"/>
      <protection locked="0"/>
    </xf>
    <xf numFmtId="0" fontId="52" fillId="0" borderId="22" xfId="2" applyFont="1" applyBorder="1" applyAlignment="1" applyProtection="1">
      <alignment horizontal="right" vertical="center"/>
      <protection locked="0"/>
    </xf>
    <xf numFmtId="0" fontId="7" fillId="0" borderId="28" xfId="2" applyFont="1" applyBorder="1" applyAlignment="1" applyProtection="1">
      <alignment horizontal="center" vertical="top"/>
      <protection locked="0"/>
    </xf>
    <xf numFmtId="0" fontId="7" fillId="0" borderId="20" xfId="2" applyFont="1" applyBorder="1" applyAlignment="1" applyProtection="1">
      <alignment horizontal="center" vertical="top"/>
      <protection locked="0"/>
    </xf>
    <xf numFmtId="0" fontId="7" fillId="0" borderId="34" xfId="2" applyFont="1" applyBorder="1" applyAlignment="1" applyProtection="1">
      <alignment horizontal="center" vertical="top"/>
      <protection locked="0"/>
    </xf>
    <xf numFmtId="0" fontId="7" fillId="0" borderId="30" xfId="2" applyFont="1" applyBorder="1" applyAlignment="1" applyProtection="1">
      <alignment horizontal="center" vertical="top"/>
      <protection locked="0"/>
    </xf>
    <xf numFmtId="0" fontId="7" fillId="0" borderId="0" xfId="2" applyFont="1" applyAlignment="1" applyProtection="1">
      <alignment horizontal="center" vertical="top"/>
      <protection locked="0"/>
    </xf>
    <xf numFmtId="0" fontId="7" fillId="0" borderId="9" xfId="2" applyFont="1" applyBorder="1" applyAlignment="1" applyProtection="1">
      <alignment horizontal="center" vertical="top"/>
      <protection locked="0"/>
    </xf>
    <xf numFmtId="0" fontId="7" fillId="0" borderId="33" xfId="2" applyFont="1" applyBorder="1" applyAlignment="1" applyProtection="1">
      <alignment horizontal="center" vertical="top"/>
      <protection locked="0"/>
    </xf>
    <xf numFmtId="0" fontId="7" fillId="0" borderId="5" xfId="2" applyFont="1" applyBorder="1" applyAlignment="1" applyProtection="1">
      <alignment horizontal="center" vertical="top"/>
      <protection locked="0"/>
    </xf>
    <xf numFmtId="0" fontId="7" fillId="0" borderId="14" xfId="2" applyFont="1" applyBorder="1" applyAlignment="1" applyProtection="1">
      <alignment horizontal="center" vertical="top"/>
      <protection locked="0"/>
    </xf>
    <xf numFmtId="0" fontId="22" fillId="2" borderId="31" xfId="2" applyFont="1" applyFill="1" applyBorder="1" applyAlignment="1" applyProtection="1">
      <alignment horizontal="center" vertical="center"/>
      <protection locked="0"/>
    </xf>
    <xf numFmtId="0" fontId="22" fillId="2" borderId="54" xfId="2" applyFont="1" applyFill="1" applyBorder="1" applyAlignment="1" applyProtection="1">
      <alignment horizontal="center" vertical="center"/>
      <protection locked="0"/>
    </xf>
    <xf numFmtId="0" fontId="22" fillId="2" borderId="46" xfId="2" applyFont="1" applyFill="1" applyBorder="1" applyAlignment="1" applyProtection="1">
      <alignment horizontal="center" vertical="center"/>
      <protection locked="0"/>
    </xf>
    <xf numFmtId="177" fontId="22" fillId="5" borderId="52" xfId="2" applyNumberFormat="1" applyFont="1" applyFill="1" applyBorder="1" applyAlignment="1">
      <alignment horizontal="right" vertical="center"/>
    </xf>
    <xf numFmtId="177" fontId="22" fillId="5" borderId="54" xfId="2" applyNumberFormat="1" applyFont="1" applyFill="1" applyBorder="1" applyAlignment="1">
      <alignment horizontal="right" vertical="center"/>
    </xf>
    <xf numFmtId="0" fontId="7" fillId="0" borderId="52" xfId="2" applyFont="1" applyBorder="1" applyAlignment="1" applyProtection="1">
      <alignment horizontal="right" vertical="center"/>
      <protection locked="0"/>
    </xf>
    <xf numFmtId="0" fontId="7" fillId="0" borderId="54" xfId="2" applyFont="1" applyBorder="1" applyAlignment="1" applyProtection="1">
      <alignment horizontal="right" vertical="center"/>
      <protection locked="0"/>
    </xf>
    <xf numFmtId="0" fontId="7" fillId="0" borderId="46" xfId="2" applyFont="1" applyBorder="1" applyAlignment="1" applyProtection="1">
      <alignment horizontal="right" vertical="center"/>
      <protection locked="0"/>
    </xf>
    <xf numFmtId="0" fontId="22" fillId="2" borderId="19" xfId="2" applyFont="1" applyFill="1" applyBorder="1" applyAlignment="1" applyProtection="1">
      <alignment horizontal="center" vertical="center" textRotation="255"/>
      <protection locked="0"/>
    </xf>
    <xf numFmtId="0" fontId="22" fillId="2" borderId="20" xfId="2" applyFont="1" applyFill="1" applyBorder="1" applyAlignment="1" applyProtection="1">
      <alignment horizontal="center" vertical="center" textRotation="255"/>
      <protection locked="0"/>
    </xf>
    <xf numFmtId="0" fontId="22" fillId="2" borderId="21" xfId="2" applyFont="1" applyFill="1" applyBorder="1" applyAlignment="1" applyProtection="1">
      <alignment horizontal="center" vertical="center" textRotation="255"/>
      <protection locked="0"/>
    </xf>
    <xf numFmtId="177" fontId="22" fillId="5" borderId="30" xfId="2" applyNumberFormat="1" applyFont="1" applyFill="1" applyBorder="1" applyAlignment="1">
      <alignment horizontal="right" vertical="center"/>
    </xf>
    <xf numFmtId="177" fontId="22" fillId="5" borderId="0" xfId="2" applyNumberFormat="1" applyFont="1" applyFill="1" applyAlignment="1">
      <alignment horizontal="right" vertical="center"/>
    </xf>
    <xf numFmtId="0" fontId="7" fillId="5" borderId="28" xfId="2" applyFont="1" applyFill="1" applyBorder="1" applyAlignment="1">
      <alignment horizontal="right" vertical="center"/>
    </xf>
    <xf numFmtId="0" fontId="7" fillId="5" borderId="20" xfId="2" applyFont="1" applyFill="1" applyBorder="1" applyAlignment="1">
      <alignment horizontal="right" vertical="center"/>
    </xf>
    <xf numFmtId="0" fontId="7" fillId="5" borderId="21" xfId="2" applyFont="1" applyFill="1" applyBorder="1" applyAlignment="1">
      <alignment horizontal="right" vertical="center"/>
    </xf>
    <xf numFmtId="0" fontId="6" fillId="2" borderId="0" xfId="2" applyFont="1" applyFill="1" applyAlignment="1" applyProtection="1">
      <alignment vertical="center" shrinkToFit="1"/>
      <protection locked="0"/>
    </xf>
    <xf numFmtId="0" fontId="0" fillId="2" borderId="0" xfId="0" applyFill="1" applyProtection="1">
      <alignment vertical="center"/>
      <protection locked="0"/>
    </xf>
    <xf numFmtId="0" fontId="9" fillId="2" borderId="0" xfId="2" applyFont="1" applyFill="1" applyAlignment="1" applyProtection="1">
      <alignment horizontal="right"/>
      <protection locked="0"/>
    </xf>
    <xf numFmtId="0" fontId="46" fillId="2" borderId="0" xfId="0" applyFont="1" applyFill="1" applyAlignment="1" applyProtection="1">
      <protection locked="0"/>
    </xf>
    <xf numFmtId="0" fontId="7" fillId="0" borderId="77" xfId="2" applyFont="1" applyBorder="1" applyAlignment="1" applyProtection="1">
      <alignment horizontal="left" vertical="center" wrapText="1"/>
      <protection locked="0"/>
    </xf>
    <xf numFmtId="0" fontId="7" fillId="2" borderId="54" xfId="2" applyFont="1" applyFill="1" applyBorder="1" applyAlignment="1" applyProtection="1">
      <alignment horizontal="center" vertical="center" shrinkToFit="1"/>
      <protection locked="0"/>
    </xf>
    <xf numFmtId="0" fontId="7" fillId="2" borderId="46" xfId="2" applyFont="1" applyFill="1" applyBorder="1" applyAlignment="1" applyProtection="1">
      <alignment horizontal="center" vertical="center" shrinkToFit="1"/>
      <protection locked="0"/>
    </xf>
    <xf numFmtId="0" fontId="7" fillId="0" borderId="54" xfId="2" applyFont="1" applyBorder="1" applyAlignment="1" applyProtection="1">
      <alignment horizontal="center" vertical="center" wrapText="1"/>
      <protection locked="0"/>
    </xf>
    <xf numFmtId="0" fontId="44" fillId="2" borderId="0" xfId="2" applyFont="1" applyFill="1" applyAlignment="1" applyProtection="1">
      <alignment horizontal="right" vertical="top"/>
      <protection locked="0"/>
    </xf>
    <xf numFmtId="0" fontId="44" fillId="2" borderId="0" xfId="2" applyFont="1" applyFill="1" applyAlignment="1" applyProtection="1">
      <alignment horizontal="left" vertical="top" wrapText="1"/>
      <protection locked="0"/>
    </xf>
    <xf numFmtId="0" fontId="29" fillId="2" borderId="0" xfId="2" applyFont="1" applyFill="1" applyAlignment="1" applyProtection="1">
      <alignment horizontal="left" vertical="top" wrapText="1"/>
      <protection locked="0"/>
    </xf>
    <xf numFmtId="0" fontId="7" fillId="2" borderId="11" xfId="0" applyFont="1" applyFill="1" applyBorder="1" applyAlignment="1" applyProtection="1">
      <alignment horizontal="right" vertical="center" wrapText="1"/>
      <protection locked="0"/>
    </xf>
    <xf numFmtId="0" fontId="7" fillId="2" borderId="11" xfId="0" applyFont="1" applyFill="1" applyBorder="1" applyAlignment="1" applyProtection="1">
      <alignment horizontal="left" vertical="center" wrapText="1"/>
      <protection locked="0"/>
    </xf>
    <xf numFmtId="49" fontId="7" fillId="2" borderId="0" xfId="0" applyNumberFormat="1" applyFont="1" applyFill="1" applyAlignment="1" applyProtection="1">
      <alignment horizontal="right" vertical="center" wrapText="1"/>
      <protection locked="0"/>
    </xf>
    <xf numFmtId="49" fontId="7" fillId="2" borderId="0" xfId="0" applyNumberFormat="1" applyFont="1" applyFill="1" applyAlignment="1" applyProtection="1">
      <alignment horizontal="right" vertical="center"/>
      <protection locked="0"/>
    </xf>
    <xf numFmtId="0" fontId="7" fillId="2" borderId="0" xfId="0" applyFont="1" applyFill="1" applyAlignment="1" applyProtection="1">
      <alignment horizontal="left" vertical="center"/>
      <protection locked="0"/>
    </xf>
    <xf numFmtId="0" fontId="19" fillId="2" borderId="0" xfId="2" applyFont="1" applyFill="1" applyAlignment="1" applyProtection="1">
      <alignment horizontal="left" wrapText="1"/>
      <protection locked="0"/>
    </xf>
    <xf numFmtId="177" fontId="52" fillId="0" borderId="135" xfId="2" applyNumberFormat="1" applyFont="1" applyBorder="1" applyAlignment="1" applyProtection="1">
      <alignment horizontal="right" vertical="center"/>
      <protection locked="0"/>
    </xf>
    <xf numFmtId="177" fontId="52" fillId="0" borderId="167" xfId="2" applyNumberFormat="1" applyFont="1" applyBorder="1" applyAlignment="1" applyProtection="1">
      <alignment horizontal="right" vertical="center"/>
      <protection locked="0"/>
    </xf>
    <xf numFmtId="0" fontId="7" fillId="2" borderId="69" xfId="2" applyFont="1" applyFill="1" applyBorder="1" applyAlignment="1" applyProtection="1">
      <alignment horizontal="center" vertical="center"/>
      <protection locked="0"/>
    </xf>
    <xf numFmtId="0" fontId="22" fillId="0" borderId="47" xfId="2" applyFont="1" applyBorder="1" applyAlignment="1" applyProtection="1">
      <alignment horizontal="center" vertical="center" shrinkToFit="1"/>
      <protection locked="0"/>
    </xf>
    <xf numFmtId="0" fontId="52" fillId="0" borderId="28" xfId="2" applyFont="1" applyBorder="1" applyAlignment="1" applyProtection="1">
      <alignment horizontal="center" vertical="center" shrinkToFit="1"/>
      <protection locked="0"/>
    </xf>
    <xf numFmtId="0" fontId="52" fillId="0" borderId="21" xfId="2" applyFont="1" applyBorder="1" applyAlignment="1" applyProtection="1">
      <alignment horizontal="center" vertical="center" shrinkToFit="1"/>
      <protection locked="0"/>
    </xf>
    <xf numFmtId="0" fontId="52" fillId="0" borderId="67" xfId="2" applyFont="1" applyBorder="1" applyAlignment="1" applyProtection="1">
      <alignment horizontal="center" vertical="center" shrinkToFit="1"/>
      <protection locked="0"/>
    </xf>
    <xf numFmtId="0" fontId="52" fillId="0" borderId="18" xfId="2" applyFont="1" applyBorder="1" applyAlignment="1" applyProtection="1">
      <alignment horizontal="center" vertical="center" shrinkToFit="1"/>
      <protection locked="0"/>
    </xf>
    <xf numFmtId="0" fontId="52" fillId="0" borderId="163" xfId="2" applyFont="1" applyBorder="1" applyAlignment="1" applyProtection="1">
      <alignment horizontal="center" vertical="center" shrinkToFit="1"/>
      <protection locked="0"/>
    </xf>
    <xf numFmtId="0" fontId="52" fillId="0" borderId="164" xfId="2" applyFont="1" applyBorder="1" applyAlignment="1" applyProtection="1">
      <alignment horizontal="center" vertical="center" shrinkToFit="1"/>
      <protection locked="0"/>
    </xf>
    <xf numFmtId="181" fontId="52" fillId="0" borderId="19" xfId="2" applyNumberFormat="1" applyFont="1" applyBorder="1" applyAlignment="1" applyProtection="1">
      <alignment horizontal="right" vertical="center" shrinkToFit="1"/>
      <protection locked="0"/>
    </xf>
    <xf numFmtId="181" fontId="52" fillId="0" borderId="163" xfId="2" applyNumberFormat="1" applyFont="1" applyBorder="1" applyAlignment="1" applyProtection="1">
      <alignment horizontal="right" vertical="center" shrinkToFit="1"/>
      <protection locked="0"/>
    </xf>
    <xf numFmtId="181" fontId="52" fillId="0" borderId="16" xfId="2" applyNumberFormat="1" applyFont="1" applyBorder="1" applyAlignment="1" applyProtection="1">
      <alignment horizontal="right" vertical="center" shrinkToFit="1"/>
      <protection locked="0"/>
    </xf>
    <xf numFmtId="181" fontId="52" fillId="0" borderId="164" xfId="2" applyNumberFormat="1" applyFont="1" applyBorder="1" applyAlignment="1" applyProtection="1">
      <alignment horizontal="right" vertical="center" shrinkToFit="1"/>
      <protection locked="0"/>
    </xf>
    <xf numFmtId="181" fontId="52" fillId="0" borderId="166" xfId="2" applyNumberFormat="1" applyFont="1" applyBorder="1" applyAlignment="1" applyProtection="1">
      <alignment horizontal="right" vertical="center" shrinkToFit="1"/>
      <protection locked="0"/>
    </xf>
    <xf numFmtId="181" fontId="52" fillId="0" borderId="169" xfId="2" applyNumberFormat="1" applyFont="1" applyBorder="1" applyAlignment="1" applyProtection="1">
      <alignment horizontal="right" vertical="center" shrinkToFit="1"/>
      <protection locked="0"/>
    </xf>
    <xf numFmtId="177" fontId="52" fillId="5" borderId="7" xfId="2" applyNumberFormat="1" applyFont="1" applyFill="1" applyBorder="1" applyAlignment="1">
      <alignment horizontal="right" vertical="center"/>
    </xf>
    <xf numFmtId="177" fontId="52" fillId="5" borderId="9" xfId="2" applyNumberFormat="1" applyFont="1" applyFill="1" applyBorder="1" applyAlignment="1">
      <alignment horizontal="right" vertical="center"/>
    </xf>
    <xf numFmtId="181" fontId="7" fillId="2" borderId="141" xfId="2" applyNumberFormat="1" applyFont="1" applyFill="1" applyBorder="1" applyAlignment="1" applyProtection="1">
      <alignment horizontal="center" vertical="center" shrinkToFit="1"/>
      <protection locked="0"/>
    </xf>
    <xf numFmtId="181" fontId="7" fillId="2" borderId="59" xfId="2" applyNumberFormat="1" applyFont="1" applyFill="1" applyBorder="1" applyAlignment="1" applyProtection="1">
      <alignment horizontal="center" vertical="center" shrinkToFit="1"/>
      <protection locked="0"/>
    </xf>
    <xf numFmtId="177" fontId="52" fillId="0" borderId="3" xfId="2" applyNumberFormat="1" applyFont="1" applyBorder="1" applyAlignment="1" applyProtection="1">
      <alignment horizontal="right" vertical="center"/>
      <protection locked="0"/>
    </xf>
    <xf numFmtId="177" fontId="52" fillId="0" borderId="142" xfId="2" applyNumberFormat="1" applyFont="1" applyBorder="1" applyAlignment="1" applyProtection="1">
      <alignment horizontal="right" vertical="center"/>
      <protection locked="0"/>
    </xf>
    <xf numFmtId="177" fontId="52" fillId="0" borderId="137" xfId="2" applyNumberFormat="1" applyFont="1" applyBorder="1" applyAlignment="1" applyProtection="1">
      <alignment horizontal="right" vertical="center"/>
      <protection locked="0"/>
    </xf>
    <xf numFmtId="177" fontId="52" fillId="0" borderId="139" xfId="2" applyNumberFormat="1" applyFont="1" applyBorder="1" applyAlignment="1" applyProtection="1">
      <alignment horizontal="right" vertical="center"/>
      <protection locked="0"/>
    </xf>
    <xf numFmtId="177" fontId="52" fillId="5" borderId="79" xfId="2" applyNumberFormat="1" applyFont="1" applyFill="1" applyBorder="1" applyAlignment="1">
      <alignment horizontal="right" vertical="center"/>
    </xf>
    <xf numFmtId="177" fontId="52" fillId="5" borderId="41" xfId="2" applyNumberFormat="1" applyFont="1" applyFill="1" applyBorder="1" applyAlignment="1">
      <alignment horizontal="right" vertical="center"/>
    </xf>
    <xf numFmtId="181" fontId="7" fillId="0" borderId="166" xfId="2" applyNumberFormat="1" applyFont="1" applyBorder="1" applyAlignment="1" applyProtection="1">
      <alignment horizontal="right" vertical="center" shrinkToFit="1"/>
      <protection locked="0"/>
    </xf>
    <xf numFmtId="181" fontId="7" fillId="0" borderId="163" xfId="2" applyNumberFormat="1" applyFont="1" applyBorder="1" applyAlignment="1" applyProtection="1">
      <alignment horizontal="right" vertical="center" shrinkToFit="1"/>
      <protection locked="0"/>
    </xf>
    <xf numFmtId="181" fontId="7" fillId="0" borderId="48" xfId="2" applyNumberFormat="1" applyFont="1" applyBorder="1" applyAlignment="1" applyProtection="1">
      <alignment horizontal="right" vertical="center" shrinkToFit="1"/>
      <protection locked="0"/>
    </xf>
    <xf numFmtId="181" fontId="7" fillId="0" borderId="75" xfId="2" applyNumberFormat="1" applyFont="1" applyBorder="1" applyAlignment="1" applyProtection="1">
      <alignment horizontal="right" vertical="center" shrinkToFit="1"/>
      <protection locked="0"/>
    </xf>
    <xf numFmtId="181" fontId="7" fillId="0" borderId="34" xfId="2" applyNumberFormat="1" applyFont="1" applyBorder="1" applyAlignment="1" applyProtection="1">
      <alignment horizontal="right" vertical="center" shrinkToFit="1"/>
      <protection locked="0"/>
    </xf>
    <xf numFmtId="181" fontId="7" fillId="0" borderId="14" xfId="2" applyNumberFormat="1" applyFont="1" applyBorder="1" applyAlignment="1" applyProtection="1">
      <alignment horizontal="right" vertical="center" shrinkToFit="1"/>
      <protection locked="0"/>
    </xf>
    <xf numFmtId="181" fontId="7" fillId="2" borderId="140" xfId="2" applyNumberFormat="1" applyFont="1" applyFill="1" applyBorder="1" applyAlignment="1" applyProtection="1">
      <alignment horizontal="center" vertical="center" wrapText="1" shrinkToFit="1"/>
      <protection locked="0"/>
    </xf>
    <xf numFmtId="181" fontId="7" fillId="2" borderId="62" xfId="2" applyNumberFormat="1" applyFont="1" applyFill="1" applyBorder="1" applyAlignment="1" applyProtection="1">
      <alignment horizontal="center" vertical="center" wrapText="1" shrinkToFit="1"/>
      <protection locked="0"/>
    </xf>
    <xf numFmtId="177" fontId="52" fillId="0" borderId="1" xfId="2" applyNumberFormat="1" applyFont="1" applyBorder="1" applyAlignment="1" applyProtection="1">
      <alignment horizontal="right" vertical="center"/>
      <protection locked="0"/>
    </xf>
    <xf numFmtId="181" fontId="7" fillId="0" borderId="169" xfId="2" applyNumberFormat="1" applyFont="1" applyBorder="1" applyAlignment="1" applyProtection="1">
      <alignment horizontal="right" vertical="center" shrinkToFit="1"/>
      <protection locked="0"/>
    </xf>
    <xf numFmtId="181" fontId="7" fillId="0" borderId="164" xfId="2" applyNumberFormat="1" applyFont="1" applyBorder="1" applyAlignment="1" applyProtection="1">
      <alignment horizontal="right" vertical="center" shrinkToFit="1"/>
      <protection locked="0"/>
    </xf>
    <xf numFmtId="181" fontId="7" fillId="0" borderId="15" xfId="2" applyNumberFormat="1" applyFont="1" applyBorder="1" applyAlignment="1" applyProtection="1">
      <alignment horizontal="right" vertical="center" shrinkToFit="1"/>
      <protection locked="0"/>
    </xf>
    <xf numFmtId="0" fontId="7" fillId="2" borderId="98" xfId="2" applyFont="1" applyFill="1" applyBorder="1" applyAlignment="1" applyProtection="1">
      <alignment horizontal="center" vertical="center"/>
      <protection locked="0"/>
    </xf>
    <xf numFmtId="0" fontId="7" fillId="2" borderId="83" xfId="2" applyFont="1" applyFill="1" applyBorder="1" applyAlignment="1" applyProtection="1">
      <alignment horizontal="center" vertical="center"/>
      <protection locked="0"/>
    </xf>
    <xf numFmtId="0" fontId="52" fillId="0" borderId="33" xfId="2" applyFont="1" applyBorder="1" applyAlignment="1" applyProtection="1">
      <alignment horizontal="center" vertical="center" shrinkToFit="1"/>
      <protection locked="0"/>
    </xf>
    <xf numFmtId="0" fontId="52" fillId="0" borderId="22" xfId="2" applyFont="1" applyBorder="1" applyAlignment="1" applyProtection="1">
      <alignment horizontal="center" vertical="center" shrinkToFit="1"/>
      <protection locked="0"/>
    </xf>
    <xf numFmtId="0" fontId="52" fillId="0" borderId="75" xfId="2" applyFont="1" applyBorder="1" applyAlignment="1" applyProtection="1">
      <alignment horizontal="center" vertical="center" shrinkToFit="1"/>
      <protection locked="0"/>
    </xf>
    <xf numFmtId="181" fontId="52" fillId="0" borderId="32" xfId="2" applyNumberFormat="1" applyFont="1" applyBorder="1" applyAlignment="1" applyProtection="1">
      <alignment horizontal="right" vertical="center" shrinkToFit="1"/>
      <protection locked="0"/>
    </xf>
    <xf numFmtId="181" fontId="52" fillId="0" borderId="75" xfId="2" applyNumberFormat="1" applyFont="1" applyBorder="1" applyAlignment="1" applyProtection="1">
      <alignment horizontal="right" vertical="center" shrinkToFit="1"/>
      <protection locked="0"/>
    </xf>
    <xf numFmtId="181" fontId="52" fillId="0" borderId="48" xfId="2" applyNumberFormat="1" applyFont="1" applyBorder="1" applyAlignment="1" applyProtection="1">
      <alignment horizontal="right" vertical="center" shrinkToFit="1"/>
      <protection locked="0"/>
    </xf>
    <xf numFmtId="181" fontId="7" fillId="2" borderId="170" xfId="2" applyNumberFormat="1" applyFont="1" applyFill="1" applyBorder="1" applyAlignment="1" applyProtection="1">
      <alignment horizontal="center" vertical="center" shrinkToFit="1"/>
      <protection locked="0"/>
    </xf>
    <xf numFmtId="181" fontId="7" fillId="2" borderId="88" xfId="2" applyNumberFormat="1" applyFont="1" applyFill="1" applyBorder="1" applyAlignment="1" applyProtection="1">
      <alignment horizontal="center" vertical="center" shrinkToFit="1"/>
      <protection locked="0"/>
    </xf>
    <xf numFmtId="177" fontId="52" fillId="0" borderId="13" xfId="2" applyNumberFormat="1" applyFont="1" applyBorder="1" applyAlignment="1" applyProtection="1">
      <alignment horizontal="right" vertical="center"/>
      <protection locked="0"/>
    </xf>
    <xf numFmtId="177" fontId="52" fillId="0" borderId="171" xfId="2" applyNumberFormat="1" applyFont="1" applyBorder="1" applyAlignment="1" applyProtection="1">
      <alignment horizontal="right" vertical="center"/>
      <protection locked="0"/>
    </xf>
    <xf numFmtId="177" fontId="52" fillId="0" borderId="51" xfId="2" applyNumberFormat="1" applyFont="1" applyBorder="1" applyAlignment="1" applyProtection="1">
      <alignment horizontal="right" vertical="center"/>
      <protection locked="0"/>
    </xf>
    <xf numFmtId="177" fontId="52" fillId="0" borderId="26" xfId="2" applyNumberFormat="1" applyFont="1" applyBorder="1" applyAlignment="1" applyProtection="1">
      <alignment horizontal="right" vertical="center"/>
      <protection locked="0"/>
    </xf>
    <xf numFmtId="177" fontId="7" fillId="0" borderId="24" xfId="2" applyNumberFormat="1" applyFont="1" applyBorder="1" applyAlignment="1" applyProtection="1">
      <alignment horizontal="right" vertical="center"/>
      <protection locked="0"/>
    </xf>
    <xf numFmtId="177" fontId="7" fillId="5" borderId="21" xfId="2" applyNumberFormat="1" applyFont="1" applyFill="1" applyBorder="1" applyAlignment="1">
      <alignment horizontal="right" vertical="center"/>
    </xf>
    <xf numFmtId="177" fontId="7" fillId="5" borderId="118" xfId="2" applyNumberFormat="1" applyFont="1" applyFill="1" applyBorder="1" applyAlignment="1">
      <alignment horizontal="right" vertical="center"/>
    </xf>
    <xf numFmtId="181" fontId="7" fillId="2" borderId="165" xfId="2" applyNumberFormat="1" applyFont="1" applyFill="1" applyBorder="1" applyAlignment="1" applyProtection="1">
      <alignment horizontal="center" vertical="center" shrinkToFit="1"/>
      <protection locked="0"/>
    </xf>
    <xf numFmtId="181" fontId="7" fillId="2" borderId="122" xfId="2" applyNumberFormat="1" applyFont="1" applyFill="1" applyBorder="1" applyAlignment="1" applyProtection="1">
      <alignment horizontal="center" vertical="center" shrinkToFit="1"/>
      <protection locked="0"/>
    </xf>
    <xf numFmtId="177" fontId="7" fillId="0" borderId="122" xfId="2" applyNumberFormat="1" applyFont="1" applyBorder="1" applyAlignment="1" applyProtection="1">
      <alignment horizontal="right" vertical="center"/>
      <protection locked="0"/>
    </xf>
    <xf numFmtId="177" fontId="7" fillId="0" borderId="13" xfId="2" applyNumberFormat="1" applyFont="1" applyBorder="1" applyAlignment="1" applyProtection="1">
      <alignment horizontal="right" vertical="center"/>
      <protection locked="0"/>
    </xf>
    <xf numFmtId="177" fontId="7" fillId="0" borderId="23" xfId="2" applyNumberFormat="1" applyFont="1" applyBorder="1" applyAlignment="1" applyProtection="1">
      <alignment horizontal="right" vertical="center"/>
      <protection locked="0"/>
    </xf>
    <xf numFmtId="177" fontId="7" fillId="0" borderId="51" xfId="2" applyNumberFormat="1" applyFont="1" applyBorder="1" applyAlignment="1" applyProtection="1">
      <alignment horizontal="right" vertical="center"/>
      <protection locked="0"/>
    </xf>
    <xf numFmtId="177" fontId="7" fillId="5" borderId="90" xfId="2" applyNumberFormat="1" applyFont="1" applyFill="1" applyBorder="1" applyAlignment="1">
      <alignment horizontal="right" vertical="center"/>
    </xf>
    <xf numFmtId="177" fontId="7" fillId="5" borderId="92" xfId="2" applyNumberFormat="1" applyFont="1" applyFill="1" applyBorder="1" applyAlignment="1">
      <alignment horizontal="right" vertical="center"/>
    </xf>
    <xf numFmtId="181" fontId="7" fillId="0" borderId="162" xfId="2" applyNumberFormat="1" applyFont="1" applyBorder="1" applyAlignment="1" applyProtection="1">
      <alignment horizontal="right" vertical="center" shrinkToFit="1"/>
      <protection locked="0"/>
    </xf>
    <xf numFmtId="181" fontId="0" fillId="0" borderId="162" xfId="0" applyNumberFormat="1" applyBorder="1" applyAlignment="1" applyProtection="1">
      <alignment horizontal="right" vertical="center" shrinkToFit="1"/>
      <protection locked="0"/>
    </xf>
    <xf numFmtId="181" fontId="7" fillId="0" borderId="46" xfId="2" applyNumberFormat="1" applyFont="1" applyBorder="1" applyAlignment="1" applyProtection="1">
      <alignment horizontal="right" vertical="center" shrinkToFit="1"/>
      <protection locked="0"/>
    </xf>
    <xf numFmtId="181" fontId="0" fillId="0" borderId="116" xfId="0" applyNumberFormat="1" applyBorder="1" applyAlignment="1" applyProtection="1">
      <alignment horizontal="right" vertical="center" shrinkToFit="1"/>
      <protection locked="0"/>
    </xf>
    <xf numFmtId="181" fontId="0" fillId="0" borderId="46" xfId="0" applyNumberFormat="1" applyBorder="1" applyAlignment="1" applyProtection="1">
      <alignment horizontal="right" vertical="center" shrinkToFit="1"/>
      <protection locked="0"/>
    </xf>
    <xf numFmtId="181" fontId="7" fillId="2" borderId="70" xfId="2" applyNumberFormat="1" applyFont="1" applyFill="1" applyBorder="1" applyAlignment="1" applyProtection="1">
      <alignment horizontal="center" vertical="center" wrapText="1" shrinkToFit="1"/>
      <protection locked="0"/>
    </xf>
    <xf numFmtId="181" fontId="7" fillId="2" borderId="71" xfId="2" applyNumberFormat="1" applyFont="1" applyFill="1" applyBorder="1" applyAlignment="1" applyProtection="1">
      <alignment horizontal="center" vertical="center" shrinkToFit="1"/>
      <protection locked="0"/>
    </xf>
    <xf numFmtId="177" fontId="7" fillId="0" borderId="71" xfId="2" applyNumberFormat="1" applyFont="1" applyBorder="1" applyAlignment="1" applyProtection="1">
      <alignment horizontal="right" vertical="center"/>
      <protection locked="0"/>
    </xf>
    <xf numFmtId="177" fontId="7" fillId="0" borderId="28" xfId="2" applyNumberFormat="1" applyFont="1" applyBorder="1" applyAlignment="1" applyProtection="1">
      <alignment horizontal="right" vertical="center"/>
      <protection locked="0"/>
    </xf>
    <xf numFmtId="177" fontId="52" fillId="5" borderId="168" xfId="2" applyNumberFormat="1" applyFont="1" applyFill="1" applyBorder="1" applyAlignment="1">
      <alignment horizontal="right" vertical="center"/>
    </xf>
    <xf numFmtId="177" fontId="52" fillId="5" borderId="57" xfId="2" applyNumberFormat="1" applyFont="1" applyFill="1" applyBorder="1" applyAlignment="1">
      <alignment horizontal="right" vertical="center"/>
    </xf>
    <xf numFmtId="0" fontId="22" fillId="38" borderId="46" xfId="2" applyFont="1" applyFill="1" applyBorder="1" applyAlignment="1" applyProtection="1">
      <alignment horizontal="center" vertical="center" shrinkToFit="1"/>
      <protection locked="0"/>
    </xf>
    <xf numFmtId="0" fontId="22" fillId="38" borderId="116" xfId="2" applyFont="1" applyFill="1" applyBorder="1" applyAlignment="1" applyProtection="1">
      <alignment horizontal="center" vertical="center" shrinkToFit="1"/>
      <protection locked="0"/>
    </xf>
    <xf numFmtId="0" fontId="111" fillId="2" borderId="52" xfId="0" applyFont="1" applyFill="1" applyBorder="1" applyAlignment="1" applyProtection="1">
      <alignment horizontal="center" vertical="center" wrapText="1"/>
      <protection locked="0"/>
    </xf>
    <xf numFmtId="0" fontId="111" fillId="2" borderId="54" xfId="0" applyFont="1" applyFill="1" applyBorder="1" applyAlignment="1" applyProtection="1">
      <alignment horizontal="center" vertical="center" wrapText="1"/>
      <protection locked="0"/>
    </xf>
    <xf numFmtId="0" fontId="111" fillId="2" borderId="46" xfId="0" applyFont="1" applyFill="1" applyBorder="1" applyAlignment="1" applyProtection="1">
      <alignment horizontal="center" vertical="center" wrapText="1"/>
      <protection locked="0"/>
    </xf>
    <xf numFmtId="0" fontId="111" fillId="2" borderId="52" xfId="0" applyFont="1" applyFill="1" applyBorder="1" applyAlignment="1" applyProtection="1">
      <alignment horizontal="center" vertical="center"/>
      <protection locked="0"/>
    </xf>
    <xf numFmtId="0" fontId="111" fillId="2" borderId="46" xfId="0" applyFont="1" applyFill="1" applyBorder="1" applyAlignment="1" applyProtection="1">
      <alignment horizontal="center" vertical="center"/>
      <protection locked="0"/>
    </xf>
    <xf numFmtId="0" fontId="111" fillId="2" borderId="39" xfId="0" applyFont="1" applyFill="1" applyBorder="1" applyAlignment="1" applyProtection="1">
      <alignment horizontal="center" vertical="center" wrapText="1"/>
      <protection locked="0"/>
    </xf>
    <xf numFmtId="180" fontId="11" fillId="37" borderId="32" xfId="0" applyNumberFormat="1" applyFont="1" applyFill="1" applyBorder="1" applyAlignment="1">
      <alignment horizontal="center" vertical="center"/>
    </xf>
    <xf numFmtId="180" fontId="11" fillId="37" borderId="14" xfId="0" applyNumberFormat="1" applyFont="1" applyFill="1" applyBorder="1" applyAlignment="1">
      <alignment horizontal="center" vertical="center"/>
    </xf>
    <xf numFmtId="181" fontId="7" fillId="0" borderId="69" xfId="2" applyNumberFormat="1" applyFont="1" applyBorder="1" applyAlignment="1" applyProtection="1">
      <alignment horizontal="right" vertical="center" shrinkToFit="1"/>
      <protection locked="0"/>
    </xf>
    <xf numFmtId="181" fontId="0" fillId="0" borderId="52" xfId="0" applyNumberFormat="1" applyBorder="1" applyAlignment="1" applyProtection="1">
      <alignment horizontal="right" vertical="center" shrinkToFit="1"/>
      <protection locked="0"/>
    </xf>
    <xf numFmtId="181" fontId="0" fillId="0" borderId="69" xfId="0" applyNumberFormat="1" applyBorder="1" applyAlignment="1" applyProtection="1">
      <alignment horizontal="right" vertical="center" shrinkToFit="1"/>
      <protection locked="0"/>
    </xf>
    <xf numFmtId="0" fontId="7" fillId="2" borderId="10" xfId="0" applyFont="1" applyFill="1" applyBorder="1" applyAlignment="1" applyProtection="1">
      <alignment horizontal="center" vertical="center" wrapText="1"/>
      <protection locked="0"/>
    </xf>
    <xf numFmtId="0" fontId="7" fillId="2" borderId="57"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28" fillId="2" borderId="69" xfId="2" applyFont="1" applyFill="1" applyBorder="1" applyAlignment="1" applyProtection="1">
      <alignment horizontal="center" vertical="center" wrapText="1"/>
      <protection locked="0"/>
    </xf>
    <xf numFmtId="0" fontId="28" fillId="2" borderId="52" xfId="2" applyFont="1" applyFill="1" applyBorder="1" applyAlignment="1" applyProtection="1">
      <alignment horizontal="center" vertical="center" wrapText="1"/>
      <protection locked="0"/>
    </xf>
    <xf numFmtId="0" fontId="22" fillId="2" borderId="162" xfId="2" applyFont="1" applyFill="1" applyBorder="1" applyAlignment="1" applyProtection="1">
      <alignment horizontal="center" vertical="center" wrapText="1" shrinkToFit="1"/>
      <protection locked="0"/>
    </xf>
    <xf numFmtId="0" fontId="7" fillId="38" borderId="162" xfId="2" applyFont="1" applyFill="1" applyBorder="1" applyAlignment="1" applyProtection="1">
      <alignment horizontal="center" vertical="center" wrapText="1"/>
      <protection locked="0"/>
    </xf>
    <xf numFmtId="0" fontId="0" fillId="0" borderId="162" xfId="0" applyBorder="1" applyAlignment="1" applyProtection="1">
      <alignment horizontal="center" vertical="center" wrapText="1"/>
      <protection locked="0"/>
    </xf>
    <xf numFmtId="0" fontId="112" fillId="38" borderId="46" xfId="2" applyFont="1" applyFill="1" applyBorder="1" applyAlignment="1" applyProtection="1">
      <alignment horizontal="center" vertical="center" wrapText="1"/>
      <protection locked="0"/>
    </xf>
    <xf numFmtId="0" fontId="113" fillId="0" borderId="116" xfId="0" applyFont="1" applyBorder="1" applyAlignment="1" applyProtection="1">
      <alignment horizontal="center" vertical="center" wrapText="1"/>
      <protection locked="0"/>
    </xf>
    <xf numFmtId="0" fontId="113" fillId="0" borderId="46" xfId="0" applyFont="1" applyBorder="1" applyAlignment="1" applyProtection="1">
      <alignment horizontal="center" vertical="center" wrapText="1"/>
      <protection locked="0"/>
    </xf>
    <xf numFmtId="0" fontId="62" fillId="2" borderId="69" xfId="0" applyFont="1" applyFill="1" applyBorder="1" applyAlignment="1" applyProtection="1">
      <alignment horizontal="center" vertical="center" wrapText="1"/>
      <protection locked="0"/>
    </xf>
    <xf numFmtId="0" fontId="62" fillId="2" borderId="47" xfId="0" applyFont="1" applyFill="1" applyBorder="1" applyAlignment="1" applyProtection="1">
      <alignment horizontal="center" vertical="center" wrapText="1"/>
      <protection locked="0"/>
    </xf>
    <xf numFmtId="0" fontId="22" fillId="38" borderId="47" xfId="2" applyFont="1" applyFill="1" applyBorder="1" applyAlignment="1" applyProtection="1">
      <alignment horizontal="center" vertical="center" shrinkToFit="1"/>
      <protection locked="0"/>
    </xf>
    <xf numFmtId="0" fontId="22" fillId="38" borderId="52" xfId="2" applyFont="1" applyFill="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shrinkToFit="1"/>
      <protection locked="0"/>
    </xf>
    <xf numFmtId="0" fontId="36" fillId="0" borderId="162" xfId="0" applyFont="1" applyBorder="1" applyAlignment="1" applyProtection="1">
      <alignment horizontal="center" vertical="center" shrinkToFit="1"/>
      <protection locked="0"/>
    </xf>
    <xf numFmtId="0" fontId="22" fillId="38" borderId="162" xfId="2" applyFont="1" applyFill="1" applyBorder="1" applyAlignment="1" applyProtection="1">
      <alignment horizontal="center" vertical="center"/>
      <protection locked="0"/>
    </xf>
    <xf numFmtId="0" fontId="36" fillId="0" borderId="162" xfId="0" applyFont="1" applyBorder="1" applyAlignment="1" applyProtection="1">
      <alignment horizontal="center" vertical="center"/>
      <protection locked="0"/>
    </xf>
    <xf numFmtId="0" fontId="57" fillId="5" borderId="79" xfId="0" applyFont="1" applyFill="1" applyBorder="1" applyAlignment="1">
      <alignment horizontal="center" vertical="center" wrapText="1"/>
    </xf>
    <xf numFmtId="0" fontId="57" fillId="5" borderId="41" xfId="0" applyFont="1" applyFill="1" applyBorder="1" applyAlignment="1">
      <alignment horizontal="center" vertical="center" wrapText="1"/>
    </xf>
    <xf numFmtId="0" fontId="57" fillId="0" borderId="90" xfId="0" applyFont="1" applyBorder="1" applyAlignment="1" applyProtection="1">
      <alignment horizontal="center" vertical="center" wrapText="1"/>
      <protection locked="0"/>
    </xf>
    <xf numFmtId="0" fontId="57" fillId="0" borderId="92" xfId="0" applyFont="1" applyBorder="1" applyAlignment="1" applyProtection="1">
      <alignment horizontal="center" vertical="center" wrapText="1"/>
      <protection locked="0"/>
    </xf>
    <xf numFmtId="0" fontId="9" fillId="38" borderId="5" xfId="2" applyFont="1" applyFill="1" applyBorder="1" applyAlignment="1" applyProtection="1">
      <alignment horizontal="right" vertical="center"/>
      <protection locked="0"/>
    </xf>
    <xf numFmtId="0" fontId="7" fillId="38" borderId="10" xfId="2" applyFont="1" applyFill="1" applyBorder="1" applyAlignment="1" applyProtection="1">
      <alignment horizontal="center" vertical="center"/>
      <protection locked="0"/>
    </xf>
    <xf numFmtId="0" fontId="7" fillId="38" borderId="11" xfId="2" applyFont="1" applyFill="1" applyBorder="1" applyAlignment="1" applyProtection="1">
      <alignment horizontal="center" vertical="center"/>
      <protection locked="0"/>
    </xf>
    <xf numFmtId="0" fontId="7" fillId="38" borderId="57" xfId="2" applyFont="1" applyFill="1" applyBorder="1" applyAlignment="1" applyProtection="1">
      <alignment horizontal="center" vertical="center"/>
      <protection locked="0"/>
    </xf>
    <xf numFmtId="0" fontId="7" fillId="38" borderId="149" xfId="0" applyFont="1" applyFill="1" applyBorder="1" applyAlignment="1" applyProtection="1">
      <alignment horizontal="center" vertical="center"/>
      <protection locked="0"/>
    </xf>
    <xf numFmtId="0" fontId="7" fillId="38" borderId="150" xfId="0" applyFont="1" applyFill="1" applyBorder="1" applyAlignment="1" applyProtection="1">
      <alignment horizontal="center" vertical="center"/>
      <protection locked="0"/>
    </xf>
    <xf numFmtId="0" fontId="7" fillId="38" borderId="151" xfId="0" applyFont="1" applyFill="1" applyBorder="1" applyAlignment="1" applyProtection="1">
      <alignment horizontal="center" vertical="center"/>
      <protection locked="0"/>
    </xf>
    <xf numFmtId="0" fontId="27" fillId="0" borderId="5" xfId="0" applyFont="1" applyBorder="1" applyAlignment="1" applyProtection="1">
      <alignment horizontal="center" vertical="center" shrinkToFit="1"/>
      <protection locked="0"/>
    </xf>
    <xf numFmtId="0" fontId="27" fillId="0" borderId="75" xfId="0" applyFont="1" applyBorder="1" applyAlignment="1" applyProtection="1">
      <alignment horizontal="center" vertical="center" shrinkToFit="1"/>
      <protection locked="0"/>
    </xf>
    <xf numFmtId="0" fontId="105" fillId="38" borderId="0" xfId="2" applyFont="1" applyFill="1" applyAlignment="1" applyProtection="1">
      <alignment horizontal="center" vertical="center"/>
      <protection locked="0"/>
    </xf>
    <xf numFmtId="0" fontId="44" fillId="2" borderId="6" xfId="2" applyFont="1" applyFill="1" applyBorder="1" applyAlignment="1" applyProtection="1">
      <alignment horizontal="right" vertical="top"/>
      <protection locked="0"/>
    </xf>
    <xf numFmtId="0" fontId="107" fillId="2" borderId="17" xfId="2" applyFont="1" applyFill="1" applyBorder="1" applyAlignment="1" applyProtection="1">
      <alignment horizontal="center" vertical="center"/>
      <protection locked="0"/>
    </xf>
    <xf numFmtId="0" fontId="55" fillId="2" borderId="47" xfId="2" applyFont="1" applyFill="1" applyBorder="1" applyAlignment="1" applyProtection="1">
      <alignment horizontal="center" vertical="center" wrapText="1"/>
      <protection locked="0"/>
    </xf>
    <xf numFmtId="0" fontId="55" fillId="2" borderId="52" xfId="2" applyFont="1" applyFill="1" applyBorder="1" applyAlignment="1" applyProtection="1">
      <alignment horizontal="center" vertical="center" wrapText="1"/>
      <protection locked="0"/>
    </xf>
    <xf numFmtId="0" fontId="55" fillId="2" borderId="71" xfId="2" applyFont="1" applyFill="1" applyBorder="1" applyAlignment="1" applyProtection="1">
      <alignment horizontal="center" vertical="center" wrapText="1"/>
      <protection locked="0"/>
    </xf>
    <xf numFmtId="0" fontId="55" fillId="2" borderId="28" xfId="2" applyFont="1" applyFill="1" applyBorder="1" applyAlignment="1" applyProtection="1">
      <alignment horizontal="center" vertical="center" wrapText="1"/>
      <protection locked="0"/>
    </xf>
    <xf numFmtId="0" fontId="55" fillId="2" borderId="124" xfId="2" applyFont="1" applyFill="1" applyBorder="1" applyAlignment="1" applyProtection="1">
      <alignment horizontal="center" vertical="center" wrapText="1"/>
      <protection locked="0"/>
    </xf>
    <xf numFmtId="0" fontId="55" fillId="2" borderId="125" xfId="2" applyFont="1" applyFill="1" applyBorder="1" applyAlignment="1" applyProtection="1">
      <alignment horizontal="center" vertical="center" wrapText="1"/>
      <protection locked="0"/>
    </xf>
    <xf numFmtId="0" fontId="55" fillId="2" borderId="126" xfId="2" applyFont="1" applyFill="1" applyBorder="1" applyAlignment="1" applyProtection="1">
      <alignment horizontal="center" vertical="center" wrapText="1"/>
      <protection locked="0"/>
    </xf>
    <xf numFmtId="0" fontId="52" fillId="2" borderId="80" xfId="2" applyFont="1" applyFill="1" applyBorder="1" applyAlignment="1" applyProtection="1">
      <alignment horizontal="center" vertical="center"/>
      <protection locked="0"/>
    </xf>
    <xf numFmtId="0" fontId="52" fillId="2" borderId="125" xfId="2" applyFont="1" applyFill="1" applyBorder="1" applyAlignment="1" applyProtection="1">
      <alignment horizontal="center" vertical="center"/>
      <protection locked="0"/>
    </xf>
    <xf numFmtId="0" fontId="56" fillId="2" borderId="6" xfId="0" applyFont="1" applyFill="1" applyBorder="1" applyAlignment="1" applyProtection="1">
      <alignment horizontal="center" vertical="center" wrapText="1" shrinkToFit="1"/>
      <protection locked="0"/>
    </xf>
    <xf numFmtId="0" fontId="56" fillId="2" borderId="0" xfId="0" applyFont="1" applyFill="1" applyAlignment="1" applyProtection="1">
      <alignment horizontal="center" vertical="center" shrinkToFit="1"/>
      <protection locked="0"/>
    </xf>
    <xf numFmtId="0" fontId="56" fillId="2" borderId="68" xfId="0" applyFont="1" applyFill="1" applyBorder="1" applyAlignment="1" applyProtection="1">
      <alignment horizontal="center" vertical="center" shrinkToFit="1"/>
      <protection locked="0"/>
    </xf>
    <xf numFmtId="0" fontId="56" fillId="2" borderId="6" xfId="0" applyFont="1" applyFill="1" applyBorder="1" applyAlignment="1" applyProtection="1">
      <alignment horizontal="center" vertical="center" shrinkToFit="1"/>
      <protection locked="0"/>
    </xf>
    <xf numFmtId="0" fontId="56" fillId="2" borderId="32" xfId="0" applyFont="1" applyFill="1" applyBorder="1" applyAlignment="1" applyProtection="1">
      <alignment horizontal="center" vertical="center" shrinkToFit="1"/>
      <protection locked="0"/>
    </xf>
    <xf numFmtId="0" fontId="56" fillId="2" borderId="5" xfId="0" applyFont="1" applyFill="1" applyBorder="1" applyAlignment="1" applyProtection="1">
      <alignment horizontal="center" vertical="center" shrinkToFit="1"/>
      <protection locked="0"/>
    </xf>
    <xf numFmtId="0" fontId="56" fillId="2" borderId="75" xfId="0" applyFont="1" applyFill="1" applyBorder="1" applyAlignment="1" applyProtection="1">
      <alignment horizontal="center" vertical="center" shrinkToFit="1"/>
      <protection locked="0"/>
    </xf>
    <xf numFmtId="0" fontId="22" fillId="2" borderId="7" xfId="2" applyFont="1" applyFill="1" applyBorder="1" applyAlignment="1" applyProtection="1">
      <alignment horizontal="distributed" vertical="center"/>
      <protection locked="0"/>
    </xf>
    <xf numFmtId="0" fontId="22" fillId="2" borderId="0" xfId="2" applyFont="1" applyFill="1" applyAlignment="1" applyProtection="1">
      <alignment horizontal="distributed" vertical="center"/>
      <protection locked="0"/>
    </xf>
    <xf numFmtId="0" fontId="27" fillId="0" borderId="0" xfId="0" applyFont="1" applyAlignment="1" applyProtection="1">
      <alignment horizontal="center" vertical="center" shrinkToFit="1"/>
      <protection locked="0"/>
    </xf>
    <xf numFmtId="0" fontId="27" fillId="0" borderId="68" xfId="0" applyFont="1" applyBorder="1" applyAlignment="1" applyProtection="1">
      <alignment horizontal="center" vertical="center" shrinkToFit="1"/>
      <protection locked="0"/>
    </xf>
    <xf numFmtId="0" fontId="22" fillId="2" borderId="73" xfId="2" applyFont="1" applyFill="1" applyBorder="1" applyAlignment="1" applyProtection="1">
      <alignment horizontal="center" vertical="center"/>
      <protection locked="0"/>
    </xf>
    <xf numFmtId="0" fontId="22" fillId="2" borderId="60" xfId="2" applyFont="1" applyFill="1" applyBorder="1" applyAlignment="1" applyProtection="1">
      <alignment horizontal="center" vertical="center"/>
      <protection locked="0"/>
    </xf>
    <xf numFmtId="0" fontId="22" fillId="2" borderId="61" xfId="2" applyFont="1" applyFill="1" applyBorder="1" applyAlignment="1" applyProtection="1">
      <alignment horizontal="center" vertical="center"/>
      <protection locked="0"/>
    </xf>
    <xf numFmtId="49" fontId="23" fillId="0" borderId="73" xfId="2" applyNumberFormat="1" applyFont="1" applyBorder="1" applyAlignment="1" applyProtection="1">
      <alignment horizontal="center" vertical="center" shrinkToFit="1"/>
      <protection locked="0"/>
    </xf>
    <xf numFmtId="49" fontId="23" fillId="0" borderId="60" xfId="2" applyNumberFormat="1" applyFont="1" applyBorder="1" applyAlignment="1" applyProtection="1">
      <alignment horizontal="center" vertical="center" shrinkToFit="1"/>
      <protection locked="0"/>
    </xf>
    <xf numFmtId="49" fontId="23" fillId="0" borderId="40" xfId="2" applyNumberFormat="1" applyFont="1" applyBorder="1" applyAlignment="1" applyProtection="1">
      <alignment horizontal="center" vertical="center" shrinkToFit="1"/>
      <protection locked="0"/>
    </xf>
    <xf numFmtId="0" fontId="22" fillId="2" borderId="27" xfId="2" applyFont="1" applyFill="1" applyBorder="1" applyAlignment="1" applyProtection="1">
      <alignment horizontal="center" vertical="center" shrinkToFit="1"/>
      <protection locked="0"/>
    </xf>
    <xf numFmtId="0" fontId="22" fillId="2" borderId="55" xfId="2" applyFont="1" applyFill="1" applyBorder="1" applyAlignment="1" applyProtection="1">
      <alignment horizontal="center" vertical="center" shrinkToFit="1"/>
      <protection locked="0"/>
    </xf>
    <xf numFmtId="0" fontId="27" fillId="0" borderId="55" xfId="0" applyFont="1" applyBorder="1" applyAlignment="1" applyProtection="1">
      <alignment horizontal="center" vertical="center" shrinkToFit="1"/>
      <protection locked="0"/>
    </xf>
    <xf numFmtId="0" fontId="27" fillId="0" borderId="120" xfId="0" applyFont="1" applyBorder="1" applyAlignment="1" applyProtection="1">
      <alignment horizontal="center" vertical="center" shrinkToFit="1"/>
      <protection locked="0"/>
    </xf>
    <xf numFmtId="0" fontId="22" fillId="2" borderId="0" xfId="2" applyFont="1" applyFill="1" applyAlignment="1" applyProtection="1">
      <alignment horizontal="distributed" vertical="center" wrapText="1"/>
      <protection locked="0"/>
    </xf>
    <xf numFmtId="0" fontId="22" fillId="2" borderId="5" xfId="2" applyFont="1" applyFill="1" applyBorder="1" applyAlignment="1" applyProtection="1">
      <alignment horizontal="distributed" vertical="center"/>
      <protection locked="0"/>
    </xf>
    <xf numFmtId="49" fontId="23" fillId="0" borderId="8" xfId="2" applyNumberFormat="1" applyFont="1" applyBorder="1" applyAlignment="1" applyProtection="1">
      <alignment horizontal="center" vertical="center" shrinkToFit="1"/>
      <protection locked="0"/>
    </xf>
    <xf numFmtId="49" fontId="24" fillId="0" borderId="42" xfId="0" applyNumberFormat="1" applyFont="1" applyBorder="1" applyAlignment="1" applyProtection="1">
      <alignment horizontal="center" vertical="center" shrinkToFit="1"/>
      <protection locked="0"/>
    </xf>
    <xf numFmtId="49" fontId="24" fillId="0" borderId="37" xfId="0" applyNumberFormat="1" applyFont="1" applyBorder="1" applyAlignment="1" applyProtection="1">
      <alignment horizontal="center" vertical="center" shrinkToFit="1"/>
      <protection locked="0"/>
    </xf>
    <xf numFmtId="49" fontId="24" fillId="0" borderId="48" xfId="0" applyNumberFormat="1" applyFont="1" applyBorder="1" applyAlignment="1" applyProtection="1">
      <alignment horizontal="center" vertical="center" shrinkToFit="1"/>
      <protection locked="0"/>
    </xf>
    <xf numFmtId="49" fontId="24" fillId="0" borderId="5" xfId="0" applyNumberFormat="1" applyFont="1" applyBorder="1" applyAlignment="1" applyProtection="1">
      <alignment horizontal="center" vertical="center" shrinkToFit="1"/>
      <protection locked="0"/>
    </xf>
    <xf numFmtId="49" fontId="24" fillId="0" borderId="14" xfId="0" applyNumberFormat="1" applyFont="1" applyBorder="1" applyAlignment="1" applyProtection="1">
      <alignment horizontal="center" vertical="center" shrinkToFit="1"/>
      <protection locked="0"/>
    </xf>
    <xf numFmtId="0" fontId="22" fillId="2" borderId="48" xfId="2" applyFont="1" applyFill="1" applyBorder="1" applyAlignment="1" applyProtection="1">
      <alignment horizontal="distributed" vertical="center" shrinkToFit="1"/>
      <protection locked="0"/>
    </xf>
    <xf numFmtId="0" fontId="22" fillId="2" borderId="5" xfId="2" applyFont="1" applyFill="1" applyBorder="1" applyAlignment="1" applyProtection="1">
      <alignment horizontal="distributed" vertical="center" shrinkToFit="1"/>
      <protection locked="0"/>
    </xf>
    <xf numFmtId="0" fontId="7" fillId="0" borderId="87" xfId="2" applyFont="1" applyBorder="1" applyAlignment="1" applyProtection="1">
      <alignment horizontal="center" vertical="center" wrapText="1"/>
      <protection locked="0"/>
    </xf>
    <xf numFmtId="0" fontId="7" fillId="0" borderId="86" xfId="2" applyFont="1" applyBorder="1" applyAlignment="1" applyProtection="1">
      <alignment horizontal="center" vertical="center"/>
      <protection locked="0"/>
    </xf>
    <xf numFmtId="0" fontId="7" fillId="0" borderId="85" xfId="2" applyFont="1" applyBorder="1" applyAlignment="1" applyProtection="1">
      <alignment horizontal="center" vertical="center"/>
      <protection locked="0"/>
    </xf>
    <xf numFmtId="0" fontId="7" fillId="0" borderId="31" xfId="2" applyFont="1" applyBorder="1" applyAlignment="1" applyProtection="1">
      <alignment horizontal="center" vertical="center" wrapText="1"/>
      <protection locked="0"/>
    </xf>
    <xf numFmtId="0" fontId="7" fillId="0" borderId="54" xfId="2" applyFont="1" applyBorder="1" applyAlignment="1" applyProtection="1">
      <alignment horizontal="center" vertical="center"/>
      <protection locked="0"/>
    </xf>
    <xf numFmtId="0" fontId="7" fillId="0" borderId="39" xfId="2" applyFont="1" applyBorder="1" applyAlignment="1" applyProtection="1">
      <alignment horizontal="center" vertical="center"/>
      <protection locked="0"/>
    </xf>
    <xf numFmtId="0" fontId="7" fillId="37" borderId="83" xfId="2" applyFont="1" applyFill="1" applyBorder="1" applyAlignment="1">
      <alignment horizontal="center" vertical="center"/>
    </xf>
    <xf numFmtId="0" fontId="7" fillId="37" borderId="64" xfId="2" applyFont="1" applyFill="1" applyBorder="1" applyAlignment="1">
      <alignment horizontal="center" vertical="center"/>
    </xf>
    <xf numFmtId="0" fontId="7" fillId="37" borderId="117" xfId="2" applyFont="1" applyFill="1" applyBorder="1" applyAlignment="1">
      <alignment horizontal="center" vertical="center"/>
    </xf>
    <xf numFmtId="0" fontId="11" fillId="8" borderId="87" xfId="2" applyFont="1" applyFill="1" applyBorder="1" applyAlignment="1" applyProtection="1">
      <alignment horizontal="center" vertical="center" wrapText="1"/>
      <protection locked="0"/>
    </xf>
    <xf numFmtId="0" fontId="11" fillId="8" borderId="143" xfId="2" applyFont="1" applyFill="1" applyBorder="1" applyAlignment="1" applyProtection="1">
      <alignment horizontal="center" vertical="center" wrapText="1"/>
      <protection locked="0"/>
    </xf>
    <xf numFmtId="0" fontId="9" fillId="14" borderId="76" xfId="0" applyFont="1" applyFill="1" applyBorder="1" applyAlignment="1">
      <alignment horizontal="left" vertical="center"/>
    </xf>
    <xf numFmtId="0" fontId="9" fillId="14" borderId="77" xfId="0" applyFont="1" applyFill="1" applyBorder="1" applyAlignment="1">
      <alignment horizontal="left" vertical="center"/>
    </xf>
    <xf numFmtId="0" fontId="9" fillId="14" borderId="45" xfId="0" applyFont="1" applyFill="1" applyBorder="1" applyAlignment="1">
      <alignment horizontal="left" vertical="center"/>
    </xf>
    <xf numFmtId="0" fontId="39" fillId="2" borderId="0" xfId="2" applyFont="1" applyFill="1" applyAlignment="1" applyProtection="1">
      <alignment horizontal="center" vertical="center" shrinkToFit="1"/>
      <protection locked="0"/>
    </xf>
    <xf numFmtId="0" fontId="39" fillId="2" borderId="0" xfId="2" applyFont="1" applyFill="1" applyAlignment="1" applyProtection="1">
      <alignment horizontal="center" vertical="center"/>
      <protection locked="0"/>
    </xf>
    <xf numFmtId="0" fontId="35" fillId="35" borderId="0" xfId="1" applyFont="1" applyFill="1" applyAlignment="1" applyProtection="1">
      <alignment horizontal="center" vertical="center"/>
      <protection locked="0"/>
    </xf>
    <xf numFmtId="0" fontId="9" fillId="14" borderId="76" xfId="2" applyFont="1" applyFill="1" applyBorder="1" applyAlignment="1" applyProtection="1">
      <alignment horizontal="center" vertical="center"/>
      <protection locked="0"/>
    </xf>
    <xf numFmtId="0" fontId="9" fillId="14" borderId="77" xfId="2" applyFont="1" applyFill="1" applyBorder="1" applyAlignment="1" applyProtection="1">
      <alignment horizontal="center" vertical="center"/>
      <protection locked="0"/>
    </xf>
    <xf numFmtId="0" fontId="9" fillId="14" borderId="45" xfId="2" applyFont="1" applyFill="1" applyBorder="1" applyAlignment="1" applyProtection="1">
      <alignment horizontal="center" vertical="center"/>
      <protection locked="0"/>
    </xf>
    <xf numFmtId="0" fontId="7" fillId="36" borderId="81" xfId="2" applyFont="1" applyFill="1" applyBorder="1" applyAlignment="1" applyProtection="1">
      <alignment horizontal="center" vertical="center"/>
      <protection locked="0"/>
    </xf>
    <xf numFmtId="0" fontId="7" fillId="36" borderId="128" xfId="2" applyFont="1" applyFill="1" applyBorder="1" applyAlignment="1" applyProtection="1">
      <alignment horizontal="center" vertical="center"/>
      <protection locked="0"/>
    </xf>
    <xf numFmtId="0" fontId="7" fillId="36" borderId="123" xfId="2" applyFont="1" applyFill="1" applyBorder="1" applyAlignment="1" applyProtection="1">
      <alignment horizontal="center" vertical="center"/>
      <protection locked="0"/>
    </xf>
    <xf numFmtId="3" fontId="22" fillId="5" borderId="51" xfId="2" applyNumberFormat="1" applyFont="1" applyFill="1" applyBorder="1" applyAlignment="1">
      <alignment horizontal="center" vertical="center"/>
    </xf>
    <xf numFmtId="3" fontId="22" fillId="5" borderId="38" xfId="2" applyNumberFormat="1" applyFont="1" applyFill="1" applyBorder="1" applyAlignment="1">
      <alignment horizontal="center" vertical="center"/>
    </xf>
    <xf numFmtId="3" fontId="22" fillId="0" borderId="23" xfId="2" applyNumberFormat="1" applyFont="1" applyBorder="1" applyAlignment="1" applyProtection="1">
      <alignment horizontal="center" vertical="center"/>
      <protection locked="0"/>
    </xf>
    <xf numFmtId="3" fontId="22" fillId="0" borderId="47" xfId="2" applyNumberFormat="1" applyFont="1" applyBorder="1" applyAlignment="1" applyProtection="1">
      <alignment horizontal="center" vertical="center"/>
      <protection locked="0"/>
    </xf>
    <xf numFmtId="0" fontId="19" fillId="0" borderId="0" xfId="2" applyFont="1" applyAlignment="1">
      <alignment horizontal="left" vertical="center" wrapText="1"/>
    </xf>
    <xf numFmtId="0" fontId="4" fillId="0" borderId="6" xfId="2" applyFont="1" applyBorder="1" applyAlignment="1">
      <alignment horizontal="left" vertical="center" wrapText="1"/>
    </xf>
    <xf numFmtId="0" fontId="4" fillId="0" borderId="0" xfId="2" applyFont="1" applyAlignment="1" applyProtection="1">
      <alignment horizontal="left" vertical="center" wrapText="1"/>
      <protection locked="0"/>
    </xf>
    <xf numFmtId="0" fontId="77" fillId="0" borderId="0" xfId="2" applyFont="1" applyAlignment="1" applyProtection="1">
      <alignment horizontal="left" vertical="center"/>
      <protection locked="0"/>
    </xf>
    <xf numFmtId="0" fontId="19" fillId="0" borderId="0" xfId="2" applyFont="1" applyAlignment="1">
      <alignment horizontal="left" vertical="center"/>
    </xf>
    <xf numFmtId="0" fontId="38" fillId="25" borderId="0" xfId="2" applyFont="1" applyFill="1" applyAlignment="1" applyProtection="1">
      <alignment horizontal="center" vertical="center"/>
      <protection locked="0"/>
    </xf>
    <xf numFmtId="0" fontId="60" fillId="9" borderId="17" xfId="0" applyFont="1" applyFill="1" applyBorder="1" applyAlignment="1" applyProtection="1">
      <alignment horizontal="left" vertical="center" wrapText="1"/>
      <protection locked="0"/>
    </xf>
    <xf numFmtId="0" fontId="55" fillId="9" borderId="47" xfId="2" applyFont="1" applyFill="1" applyBorder="1" applyAlignment="1" applyProtection="1">
      <alignment horizontal="center" vertical="center" wrapText="1"/>
      <protection locked="0"/>
    </xf>
    <xf numFmtId="0" fontId="55" fillId="9" borderId="52" xfId="2" applyFont="1" applyFill="1" applyBorder="1" applyAlignment="1" applyProtection="1">
      <alignment horizontal="center" vertical="center" wrapText="1"/>
      <protection locked="0"/>
    </xf>
    <xf numFmtId="0" fontId="55" fillId="9" borderId="71" xfId="2" applyFont="1" applyFill="1" applyBorder="1" applyAlignment="1" applyProtection="1">
      <alignment horizontal="center" vertical="center" wrapText="1"/>
      <protection locked="0"/>
    </xf>
    <xf numFmtId="0" fontId="55" fillId="9" borderId="28" xfId="2" applyFont="1" applyFill="1" applyBorder="1" applyAlignment="1" applyProtection="1">
      <alignment horizontal="center" vertical="center" wrapText="1"/>
      <protection locked="0"/>
    </xf>
    <xf numFmtId="0" fontId="55" fillId="9" borderId="124" xfId="2" applyFont="1" applyFill="1" applyBorder="1" applyAlignment="1" applyProtection="1">
      <alignment horizontal="center" vertical="center" wrapText="1"/>
      <protection locked="0"/>
    </xf>
    <xf numFmtId="0" fontId="55" fillId="9" borderId="125" xfId="2" applyFont="1" applyFill="1" applyBorder="1" applyAlignment="1" applyProtection="1">
      <alignment horizontal="center" vertical="center" wrapText="1"/>
      <protection locked="0"/>
    </xf>
    <xf numFmtId="0" fontId="55" fillId="9" borderId="126" xfId="2" applyFont="1" applyFill="1" applyBorder="1" applyAlignment="1" applyProtection="1">
      <alignment horizontal="center" vertical="center" wrapText="1"/>
      <protection locked="0"/>
    </xf>
    <xf numFmtId="0" fontId="52" fillId="9" borderId="80" xfId="2" applyFont="1" applyFill="1" applyBorder="1" applyAlignment="1" applyProtection="1">
      <alignment horizontal="center" vertical="center"/>
      <protection locked="0"/>
    </xf>
    <xf numFmtId="0" fontId="52" fillId="9" borderId="125" xfId="2" applyFont="1" applyFill="1" applyBorder="1" applyAlignment="1" applyProtection="1">
      <alignment horizontal="center" vertical="center"/>
      <protection locked="0"/>
    </xf>
    <xf numFmtId="0" fontId="57" fillId="5" borderId="81" xfId="0" applyFont="1" applyFill="1" applyBorder="1" applyAlignment="1">
      <alignment horizontal="center" vertical="center" wrapText="1"/>
    </xf>
    <xf numFmtId="0" fontId="57" fillId="5" borderId="123" xfId="0" applyFont="1" applyFill="1" applyBorder="1" applyAlignment="1">
      <alignment horizontal="center" vertical="center" wrapText="1"/>
    </xf>
    <xf numFmtId="0" fontId="57" fillId="5" borderId="83" xfId="0" applyFont="1" applyFill="1" applyBorder="1" applyAlignment="1">
      <alignment horizontal="center" vertical="center" wrapText="1"/>
    </xf>
    <xf numFmtId="0" fontId="57" fillId="5" borderId="117" xfId="0" applyFont="1" applyFill="1" applyBorder="1" applyAlignment="1">
      <alignment horizontal="center" vertical="center" wrapText="1"/>
    </xf>
    <xf numFmtId="0" fontId="57" fillId="0" borderId="10" xfId="0" applyFont="1" applyBorder="1" applyAlignment="1" applyProtection="1">
      <alignment horizontal="center" vertical="center" wrapText="1"/>
      <protection locked="0"/>
    </xf>
    <xf numFmtId="0" fontId="57" fillId="0" borderId="57" xfId="0" applyFont="1" applyBorder="1" applyAlignment="1" applyProtection="1">
      <alignment horizontal="center" vertical="center" wrapText="1"/>
      <protection locked="0"/>
    </xf>
    <xf numFmtId="0" fontId="57" fillId="0" borderId="32" xfId="0" applyFont="1" applyBorder="1" applyAlignment="1" applyProtection="1">
      <alignment horizontal="center" vertical="center" wrapText="1"/>
      <protection locked="0"/>
    </xf>
    <xf numFmtId="0" fontId="57" fillId="0" borderId="14" xfId="0" applyFont="1" applyBorder="1" applyAlignment="1" applyProtection="1">
      <alignment horizontal="center" vertical="center" wrapText="1"/>
      <protection locked="0"/>
    </xf>
    <xf numFmtId="0" fontId="57" fillId="0" borderId="81" xfId="0" applyFont="1" applyBorder="1" applyAlignment="1" applyProtection="1">
      <alignment horizontal="center" vertical="center" wrapText="1"/>
      <protection locked="0"/>
    </xf>
    <xf numFmtId="0" fontId="57" fillId="0" borderId="123" xfId="0" applyFont="1" applyBorder="1" applyAlignment="1" applyProtection="1">
      <alignment horizontal="center" vertical="center" wrapText="1"/>
      <protection locked="0"/>
    </xf>
    <xf numFmtId="0" fontId="57" fillId="0" borderId="83" xfId="0" applyFont="1" applyBorder="1" applyAlignment="1" applyProtection="1">
      <alignment horizontal="center" vertical="center" wrapText="1"/>
      <protection locked="0"/>
    </xf>
    <xf numFmtId="0" fontId="57" fillId="0" borderId="117" xfId="0" applyFont="1" applyBorder="1" applyAlignment="1" applyProtection="1">
      <alignment horizontal="center" vertical="center" wrapText="1"/>
      <protection locked="0"/>
    </xf>
    <xf numFmtId="0" fontId="22" fillId="9" borderId="10" xfId="2" applyFont="1" applyFill="1" applyBorder="1" applyAlignment="1" applyProtection="1">
      <alignment horizontal="center" vertical="center"/>
      <protection locked="0"/>
    </xf>
    <xf numFmtId="0" fontId="22" fillId="9" borderId="11" xfId="2" applyFont="1" applyFill="1" applyBorder="1" applyAlignment="1" applyProtection="1">
      <alignment horizontal="center" vertical="center"/>
      <protection locked="0"/>
    </xf>
    <xf numFmtId="0" fontId="22" fillId="9" borderId="74" xfId="2" applyFont="1" applyFill="1" applyBorder="1" applyAlignment="1" applyProtection="1">
      <alignment horizontal="center" vertical="center"/>
      <protection locked="0"/>
    </xf>
    <xf numFmtId="0" fontId="22" fillId="9" borderId="6" xfId="2" applyFont="1" applyFill="1" applyBorder="1" applyAlignment="1" applyProtection="1">
      <alignment horizontal="center" vertical="center"/>
      <protection locked="0"/>
    </xf>
    <xf numFmtId="0" fontId="22" fillId="9" borderId="0" xfId="2" applyFont="1" applyFill="1" applyAlignment="1" applyProtection="1">
      <alignment horizontal="center" vertical="center"/>
      <protection locked="0"/>
    </xf>
    <xf numFmtId="0" fontId="22" fillId="9" borderId="49" xfId="2" applyFont="1" applyFill="1" applyBorder="1" applyAlignment="1" applyProtection="1">
      <alignment horizontal="center" vertical="center"/>
      <protection locked="0"/>
    </xf>
    <xf numFmtId="0" fontId="22" fillId="9" borderId="16" xfId="2" applyFont="1" applyFill="1" applyBorder="1" applyAlignment="1" applyProtection="1">
      <alignment horizontal="center" vertical="center"/>
      <protection locked="0"/>
    </xf>
    <xf numFmtId="0" fontId="22" fillId="9" borderId="17" xfId="2" applyFont="1" applyFill="1" applyBorder="1" applyAlignment="1" applyProtection="1">
      <alignment horizontal="center" vertical="center"/>
      <protection locked="0"/>
    </xf>
    <xf numFmtId="0" fontId="22" fillId="9" borderId="18" xfId="2" applyFont="1" applyFill="1" applyBorder="1" applyAlignment="1" applyProtection="1">
      <alignment horizontal="center" vertical="center"/>
      <protection locked="0"/>
    </xf>
    <xf numFmtId="0" fontId="22" fillId="9" borderId="78" xfId="2" applyFont="1" applyFill="1" applyBorder="1" applyAlignment="1" applyProtection="1">
      <alignment horizontal="center" vertical="center"/>
      <protection locked="0"/>
    </xf>
    <xf numFmtId="0" fontId="22" fillId="9" borderId="77" xfId="2" applyFont="1" applyFill="1" applyBorder="1" applyAlignment="1" applyProtection="1">
      <alignment horizontal="center" vertical="center"/>
      <protection locked="0"/>
    </xf>
    <xf numFmtId="3" fontId="22" fillId="9" borderId="122" xfId="2" applyNumberFormat="1" applyFont="1" applyFill="1" applyBorder="1" applyAlignment="1" applyProtection="1">
      <alignment horizontal="center" vertical="center"/>
      <protection locked="0"/>
    </xf>
    <xf numFmtId="3" fontId="22" fillId="5" borderId="122" xfId="2" applyNumberFormat="1" applyFont="1" applyFill="1" applyBorder="1" applyAlignment="1" applyProtection="1">
      <alignment horizontal="center" vertical="center"/>
      <protection locked="0"/>
    </xf>
    <xf numFmtId="177" fontId="29" fillId="6" borderId="0" xfId="2" applyNumberFormat="1" applyFont="1" applyFill="1" applyAlignment="1" applyProtection="1">
      <alignment horizontal="left" vertical="top" shrinkToFit="1"/>
      <protection locked="0"/>
    </xf>
    <xf numFmtId="0" fontId="31" fillId="8" borderId="28" xfId="2" applyFont="1" applyFill="1" applyBorder="1" applyAlignment="1" applyProtection="1">
      <alignment horizontal="center" vertical="center" wrapText="1"/>
      <protection locked="0"/>
    </xf>
    <xf numFmtId="0" fontId="31" fillId="8" borderId="20" xfId="2" applyFont="1" applyFill="1" applyBorder="1" applyAlignment="1" applyProtection="1">
      <alignment horizontal="center" vertical="center" wrapText="1"/>
      <protection locked="0"/>
    </xf>
    <xf numFmtId="0" fontId="31" fillId="8" borderId="30" xfId="2" applyFont="1" applyFill="1" applyBorder="1" applyAlignment="1" applyProtection="1">
      <alignment horizontal="center" vertical="center" wrapText="1"/>
      <protection locked="0"/>
    </xf>
    <xf numFmtId="0" fontId="31" fillId="8" borderId="0" xfId="2" applyFont="1" applyFill="1" applyAlignment="1" applyProtection="1">
      <alignment horizontal="center" vertical="center" wrapText="1"/>
      <protection locked="0"/>
    </xf>
    <xf numFmtId="0" fontId="32" fillId="8" borderId="30" xfId="2" applyFont="1" applyFill="1" applyBorder="1" applyAlignment="1" applyProtection="1">
      <alignment horizontal="right" vertical="center" wrapText="1"/>
      <protection locked="0"/>
    </xf>
    <xf numFmtId="0" fontId="32" fillId="8" borderId="0" xfId="2" applyFont="1" applyFill="1" applyAlignment="1" applyProtection="1">
      <alignment horizontal="right" vertical="center" wrapText="1"/>
      <protection locked="0"/>
    </xf>
    <xf numFmtId="0" fontId="29" fillId="8" borderId="0" xfId="2" applyFont="1" applyFill="1" applyAlignment="1" applyProtection="1">
      <alignment horizontal="left" vertical="top" wrapText="1"/>
      <protection locked="0"/>
    </xf>
    <xf numFmtId="0" fontId="22" fillId="0" borderId="0" xfId="2" applyFont="1" applyAlignment="1" applyProtection="1">
      <alignment horizontal="center" vertical="center" wrapText="1"/>
      <protection locked="0"/>
    </xf>
    <xf numFmtId="0" fontId="22" fillId="8" borderId="95" xfId="2" applyFont="1" applyFill="1" applyBorder="1" applyAlignment="1" applyProtection="1">
      <alignment horizontal="center" vertical="center" wrapText="1"/>
      <protection locked="0"/>
    </xf>
    <xf numFmtId="0" fontId="22" fillId="8" borderId="96" xfId="2" applyFont="1" applyFill="1" applyBorder="1" applyAlignment="1" applyProtection="1">
      <alignment horizontal="center" vertical="center" wrapText="1"/>
      <protection locked="0"/>
    </xf>
    <xf numFmtId="0" fontId="22" fillId="8" borderId="97" xfId="2" applyFont="1" applyFill="1" applyBorder="1" applyAlignment="1" applyProtection="1">
      <alignment horizontal="center" vertical="center" wrapText="1"/>
      <protection locked="0"/>
    </xf>
    <xf numFmtId="0" fontId="23" fillId="6" borderId="90" xfId="2" applyFont="1" applyFill="1" applyBorder="1" applyAlignment="1" applyProtection="1">
      <alignment horizontal="center" vertical="center" shrinkToFit="1"/>
      <protection locked="0"/>
    </xf>
    <xf numFmtId="0" fontId="23" fillId="6" borderId="92" xfId="2" applyFont="1" applyFill="1" applyBorder="1" applyAlignment="1" applyProtection="1">
      <alignment horizontal="center" vertical="center" shrinkToFit="1"/>
      <protection locked="0"/>
    </xf>
    <xf numFmtId="0" fontId="23" fillId="5" borderId="52" xfId="2" applyFont="1" applyFill="1" applyBorder="1" applyAlignment="1">
      <alignment horizontal="center" vertical="center" shrinkToFit="1"/>
    </xf>
    <xf numFmtId="0" fontId="23" fillId="5" borderId="46" xfId="2" applyFont="1" applyFill="1" applyBorder="1" applyAlignment="1">
      <alignment horizontal="center" vertical="center" shrinkToFit="1"/>
    </xf>
    <xf numFmtId="0" fontId="23" fillId="0" borderId="79" xfId="2" applyFont="1" applyBorder="1" applyAlignment="1" applyProtection="1">
      <alignment horizontal="center" vertical="center" shrinkToFit="1"/>
      <protection locked="0"/>
    </xf>
    <xf numFmtId="0" fontId="23" fillId="0" borderId="41" xfId="2" applyFont="1" applyBorder="1" applyAlignment="1" applyProtection="1">
      <alignment horizontal="center" vertical="center" shrinkToFit="1"/>
      <protection locked="0"/>
    </xf>
    <xf numFmtId="38" fontId="37" fillId="0" borderId="10" xfId="3" applyFont="1" applyFill="1" applyBorder="1" applyAlignment="1" applyProtection="1">
      <alignment horizontal="center" vertical="center" wrapText="1"/>
      <protection locked="0"/>
    </xf>
    <xf numFmtId="38" fontId="37" fillId="0" borderId="11" xfId="3" applyFont="1" applyFill="1" applyBorder="1" applyAlignment="1" applyProtection="1">
      <alignment horizontal="center" vertical="center" wrapText="1"/>
      <protection locked="0"/>
    </xf>
    <xf numFmtId="38" fontId="37" fillId="0" borderId="57" xfId="3" applyFont="1" applyFill="1" applyBorder="1" applyAlignment="1" applyProtection="1">
      <alignment horizontal="center" vertical="center" wrapText="1"/>
      <protection locked="0"/>
    </xf>
    <xf numFmtId="38" fontId="37" fillId="0" borderId="32" xfId="3" applyFont="1" applyFill="1" applyBorder="1" applyAlignment="1" applyProtection="1">
      <alignment horizontal="center" vertical="center" wrapText="1"/>
      <protection locked="0"/>
    </xf>
    <xf numFmtId="38" fontId="37" fillId="0" borderId="5" xfId="3" applyFont="1" applyFill="1" applyBorder="1" applyAlignment="1" applyProtection="1">
      <alignment horizontal="center" vertical="center" wrapText="1"/>
      <protection locked="0"/>
    </xf>
    <xf numFmtId="38" fontId="37" fillId="0" borderId="14" xfId="3" applyFont="1" applyFill="1" applyBorder="1" applyAlignment="1" applyProtection="1">
      <alignment horizontal="center" vertical="center" wrapText="1"/>
      <protection locked="0"/>
    </xf>
    <xf numFmtId="38" fontId="21" fillId="0" borderId="103" xfId="3" applyFont="1" applyFill="1" applyBorder="1" applyAlignment="1" applyProtection="1">
      <alignment horizontal="center" vertical="center" wrapText="1"/>
      <protection locked="0"/>
    </xf>
    <xf numFmtId="38" fontId="23" fillId="0" borderId="107" xfId="3" applyFont="1" applyFill="1" applyBorder="1" applyAlignment="1" applyProtection="1">
      <alignment horizontal="center" vertical="center" wrapText="1"/>
      <protection locked="0"/>
    </xf>
    <xf numFmtId="38" fontId="23" fillId="0" borderId="108" xfId="3" applyFont="1" applyFill="1" applyBorder="1" applyAlignment="1" applyProtection="1">
      <alignment horizontal="center" vertical="center" wrapText="1"/>
      <protection locked="0"/>
    </xf>
    <xf numFmtId="38" fontId="23" fillId="0" borderId="109" xfId="3" applyFont="1" applyFill="1" applyBorder="1" applyAlignment="1" applyProtection="1">
      <alignment horizontal="center" vertical="center" wrapText="1"/>
      <protection locked="0"/>
    </xf>
    <xf numFmtId="38" fontId="21" fillId="0" borderId="111" xfId="3" applyFont="1" applyFill="1" applyBorder="1" applyAlignment="1" applyProtection="1">
      <alignment horizontal="center" vertical="center" wrapText="1"/>
      <protection locked="0"/>
    </xf>
    <xf numFmtId="38" fontId="23" fillId="0" borderId="112" xfId="3" applyFont="1" applyFill="1" applyBorder="1" applyAlignment="1" applyProtection="1">
      <alignment horizontal="center" vertical="center" wrapText="1"/>
      <protection locked="0"/>
    </xf>
    <xf numFmtId="38" fontId="23" fillId="0" borderId="113" xfId="3" applyFont="1" applyFill="1" applyBorder="1" applyAlignment="1" applyProtection="1">
      <alignment horizontal="center" vertical="center" wrapText="1"/>
      <protection locked="0"/>
    </xf>
    <xf numFmtId="38" fontId="23" fillId="0" borderId="114" xfId="3" applyFont="1" applyFill="1" applyBorder="1" applyAlignment="1" applyProtection="1">
      <alignment horizontal="center" vertical="center" wrapText="1"/>
      <protection locked="0"/>
    </xf>
    <xf numFmtId="38" fontId="23" fillId="6" borderId="79" xfId="3" applyFont="1" applyFill="1" applyBorder="1" applyAlignment="1" applyProtection="1">
      <alignment horizontal="center" vertical="center" shrinkToFit="1"/>
      <protection locked="0"/>
    </xf>
    <xf numFmtId="38" fontId="23" fillId="6" borderId="100" xfId="3" applyFont="1" applyFill="1" applyBorder="1" applyAlignment="1" applyProtection="1">
      <alignment horizontal="center" vertical="center" shrinkToFit="1"/>
      <protection locked="0"/>
    </xf>
    <xf numFmtId="3" fontId="22" fillId="5" borderId="122" xfId="2" applyNumberFormat="1" applyFont="1" applyFill="1" applyBorder="1" applyAlignment="1">
      <alignment horizontal="center" vertical="center"/>
    </xf>
    <xf numFmtId="3" fontId="22" fillId="5" borderId="13" xfId="2" applyNumberFormat="1" applyFont="1" applyFill="1" applyBorder="1" applyAlignment="1">
      <alignment horizontal="center" vertical="center"/>
    </xf>
    <xf numFmtId="3" fontId="22" fillId="5" borderId="23" xfId="2" applyNumberFormat="1" applyFont="1" applyFill="1" applyBorder="1" applyAlignment="1">
      <alignment horizontal="center" vertical="center"/>
    </xf>
    <xf numFmtId="3" fontId="22" fillId="0" borderId="24" xfId="2" applyNumberFormat="1" applyFont="1" applyBorder="1" applyAlignment="1" applyProtection="1">
      <alignment horizontal="center" vertical="center"/>
      <protection locked="0"/>
    </xf>
    <xf numFmtId="0" fontId="22" fillId="9" borderId="27" xfId="2" applyFont="1" applyFill="1" applyBorder="1" applyAlignment="1" applyProtection="1">
      <alignment horizontal="center" vertical="center" shrinkToFit="1"/>
      <protection locked="0"/>
    </xf>
    <xf numFmtId="0" fontId="22" fillId="9" borderId="55" xfId="2" applyFont="1" applyFill="1" applyBorder="1" applyAlignment="1" applyProtection="1">
      <alignment horizontal="center" vertical="center" shrinkToFit="1"/>
      <protection locked="0"/>
    </xf>
    <xf numFmtId="0" fontId="22" fillId="9" borderId="0" xfId="2" applyFont="1" applyFill="1" applyAlignment="1" applyProtection="1">
      <alignment horizontal="distributed" vertical="center" wrapText="1"/>
      <protection locked="0"/>
    </xf>
    <xf numFmtId="0" fontId="22" fillId="9" borderId="0" xfId="2" applyFont="1" applyFill="1" applyAlignment="1" applyProtection="1">
      <alignment horizontal="distributed" vertical="center"/>
      <protection locked="0"/>
    </xf>
    <xf numFmtId="0" fontId="22" fillId="9" borderId="5" xfId="2" applyFont="1" applyFill="1" applyBorder="1" applyAlignment="1" applyProtection="1">
      <alignment horizontal="distributed" vertical="center"/>
      <protection locked="0"/>
    </xf>
    <xf numFmtId="0" fontId="22" fillId="9" borderId="48" xfId="2" applyFont="1" applyFill="1" applyBorder="1" applyAlignment="1" applyProtection="1">
      <alignment horizontal="distributed" vertical="center" shrinkToFit="1"/>
      <protection locked="0"/>
    </xf>
    <xf numFmtId="0" fontId="22" fillId="9" borderId="5" xfId="2" applyFont="1" applyFill="1" applyBorder="1" applyAlignment="1" applyProtection="1">
      <alignment horizontal="distributed" vertical="center" shrinkToFit="1"/>
      <protection locked="0"/>
    </xf>
    <xf numFmtId="0" fontId="24" fillId="0" borderId="5" xfId="0" applyFont="1" applyBorder="1" applyAlignment="1" applyProtection="1">
      <alignment horizontal="center" vertical="center" shrinkToFit="1"/>
      <protection locked="0"/>
    </xf>
    <xf numFmtId="0" fontId="24" fillId="0" borderId="75" xfId="0" applyFont="1" applyBorder="1" applyAlignment="1" applyProtection="1">
      <alignment horizontal="center" vertical="center" shrinkToFit="1"/>
      <protection locked="0"/>
    </xf>
    <xf numFmtId="0" fontId="28" fillId="9" borderId="47" xfId="2" applyFont="1" applyFill="1" applyBorder="1" applyAlignment="1" applyProtection="1">
      <alignment horizontal="center" vertical="center" wrapText="1"/>
      <protection locked="0"/>
    </xf>
    <xf numFmtId="0" fontId="9" fillId="9" borderId="5" xfId="2" applyFont="1" applyFill="1" applyBorder="1" applyAlignment="1" applyProtection="1">
      <alignment horizontal="left" vertical="center" wrapText="1"/>
      <protection locked="0"/>
    </xf>
    <xf numFmtId="0" fontId="22" fillId="9" borderId="78" xfId="2" applyFont="1" applyFill="1" applyBorder="1" applyAlignment="1" applyProtection="1">
      <alignment horizontal="center" vertical="center" shrinkToFit="1"/>
      <protection locked="0"/>
    </xf>
    <xf numFmtId="0" fontId="22" fillId="9" borderId="77" xfId="2" applyFont="1" applyFill="1" applyBorder="1" applyAlignment="1" applyProtection="1">
      <alignment horizontal="center" vertical="center" shrinkToFit="1"/>
      <protection locked="0"/>
    </xf>
    <xf numFmtId="0" fontId="22" fillId="9" borderId="45" xfId="2" applyFont="1" applyFill="1" applyBorder="1" applyAlignment="1" applyProtection="1">
      <alignment horizontal="center" vertical="center" shrinkToFit="1"/>
      <protection locked="0"/>
    </xf>
    <xf numFmtId="0" fontId="59" fillId="9" borderId="79" xfId="2" applyFont="1" applyFill="1" applyBorder="1" applyAlignment="1" applyProtection="1">
      <alignment horizontal="center" vertical="center" wrapText="1"/>
      <protection locked="0"/>
    </xf>
    <xf numFmtId="0" fontId="59" fillId="9" borderId="41" xfId="2" applyFont="1" applyFill="1" applyBorder="1" applyAlignment="1" applyProtection="1">
      <alignment horizontal="center" vertical="center" wrapText="1"/>
      <protection locked="0"/>
    </xf>
    <xf numFmtId="0" fontId="42" fillId="9" borderId="10" xfId="2" applyFont="1" applyFill="1" applyBorder="1" applyAlignment="1" applyProtection="1">
      <alignment horizontal="left" vertical="center" wrapText="1"/>
      <protection locked="0"/>
    </xf>
    <xf numFmtId="0" fontId="42" fillId="9" borderId="11" xfId="2" applyFont="1" applyFill="1" applyBorder="1" applyAlignment="1" applyProtection="1">
      <alignment horizontal="left" vertical="center" wrapText="1"/>
      <protection locked="0"/>
    </xf>
    <xf numFmtId="0" fontId="42" fillId="9" borderId="57" xfId="2" applyFont="1" applyFill="1" applyBorder="1" applyAlignment="1" applyProtection="1">
      <alignment horizontal="left" vertical="center" wrapText="1"/>
      <protection locked="0"/>
    </xf>
    <xf numFmtId="0" fontId="42" fillId="9" borderId="32" xfId="2" applyFont="1" applyFill="1" applyBorder="1" applyAlignment="1" applyProtection="1">
      <alignment horizontal="left" vertical="center" wrapText="1"/>
      <protection locked="0"/>
    </xf>
    <xf numFmtId="0" fontId="42" fillId="9" borderId="5" xfId="2" applyFont="1" applyFill="1" applyBorder="1" applyAlignment="1" applyProtection="1">
      <alignment horizontal="left" vertical="center" wrapText="1"/>
      <protection locked="0"/>
    </xf>
    <xf numFmtId="0" fontId="42" fillId="9" borderId="14" xfId="2" applyFont="1" applyFill="1" applyBorder="1" applyAlignment="1" applyProtection="1">
      <alignment horizontal="left" vertical="center" wrapText="1"/>
      <protection locked="0"/>
    </xf>
    <xf numFmtId="0" fontId="63" fillId="0" borderId="79" xfId="2" applyFont="1" applyBorder="1" applyAlignment="1" applyProtection="1">
      <alignment horizontal="center" vertical="center" wrapText="1"/>
      <protection locked="0"/>
    </xf>
    <xf numFmtId="0" fontId="63" fillId="0" borderId="41" xfId="2" applyFont="1" applyBorder="1" applyAlignment="1" applyProtection="1">
      <alignment horizontal="center" vertical="center" wrapText="1"/>
      <protection locked="0"/>
    </xf>
    <xf numFmtId="0" fontId="22" fillId="9" borderId="6" xfId="2" applyFont="1" applyFill="1" applyBorder="1" applyAlignment="1" applyProtection="1">
      <alignment horizontal="distributed" vertical="center"/>
      <protection locked="0"/>
    </xf>
    <xf numFmtId="0" fontId="22" fillId="9" borderId="49" xfId="2" applyFont="1" applyFill="1" applyBorder="1" applyAlignment="1" applyProtection="1">
      <alignment horizontal="distributed" vertical="center"/>
      <protection locked="0"/>
    </xf>
    <xf numFmtId="0" fontId="22" fillId="9" borderId="16" xfId="2" applyFont="1" applyFill="1" applyBorder="1" applyAlignment="1" applyProtection="1">
      <alignment horizontal="distributed" vertical="center"/>
      <protection locked="0"/>
    </xf>
    <xf numFmtId="0" fontId="22" fillId="9" borderId="17" xfId="2" applyFont="1" applyFill="1" applyBorder="1" applyAlignment="1" applyProtection="1">
      <alignment horizontal="distributed" vertical="center"/>
      <protection locked="0"/>
    </xf>
    <xf numFmtId="0" fontId="22" fillId="9" borderId="18" xfId="2" applyFont="1" applyFill="1" applyBorder="1" applyAlignment="1" applyProtection="1">
      <alignment horizontal="distributed" vertical="center"/>
      <protection locked="0"/>
    </xf>
    <xf numFmtId="3" fontId="22" fillId="0" borderId="122" xfId="2" applyNumberFormat="1" applyFont="1" applyBorder="1" applyAlignment="1" applyProtection="1">
      <alignment horizontal="center" vertical="center"/>
      <protection locked="0"/>
    </xf>
    <xf numFmtId="3" fontId="22" fillId="0" borderId="13" xfId="2" applyNumberFormat="1" applyFont="1" applyBorder="1" applyAlignment="1" applyProtection="1">
      <alignment horizontal="center" vertical="center"/>
      <protection locked="0"/>
    </xf>
    <xf numFmtId="0" fontId="22" fillId="9" borderId="24" xfId="2" applyFont="1" applyFill="1" applyBorder="1" applyAlignment="1" applyProtection="1">
      <alignment horizontal="center" vertical="center" shrinkToFit="1"/>
      <protection locked="0"/>
    </xf>
    <xf numFmtId="0" fontId="22" fillId="9" borderId="25" xfId="2" applyFont="1" applyFill="1" applyBorder="1" applyAlignment="1" applyProtection="1">
      <alignment horizontal="center" vertical="center" shrinkToFit="1"/>
      <protection locked="0"/>
    </xf>
    <xf numFmtId="0" fontId="22" fillId="9" borderId="66" xfId="2" applyFont="1" applyFill="1" applyBorder="1" applyAlignment="1" applyProtection="1">
      <alignment horizontal="center" vertical="center" shrinkToFit="1"/>
      <protection locked="0"/>
    </xf>
    <xf numFmtId="0" fontId="9" fillId="27" borderId="76" xfId="2" applyFont="1" applyFill="1" applyBorder="1" applyAlignment="1" applyProtection="1">
      <alignment horizontal="left"/>
      <protection locked="0"/>
    </xf>
    <xf numFmtId="0" fontId="9" fillId="27" borderId="77" xfId="2" applyFont="1" applyFill="1" applyBorder="1" applyAlignment="1" applyProtection="1">
      <alignment horizontal="left"/>
      <protection locked="0"/>
    </xf>
    <xf numFmtId="0" fontId="9" fillId="27" borderId="45" xfId="2" applyFont="1" applyFill="1" applyBorder="1" applyAlignment="1" applyProtection="1">
      <alignment horizontal="left"/>
      <protection locked="0"/>
    </xf>
    <xf numFmtId="0" fontId="7" fillId="27" borderId="76" xfId="2" applyFont="1" applyFill="1" applyBorder="1" applyAlignment="1" applyProtection="1">
      <alignment horizontal="center" vertical="center"/>
      <protection locked="0"/>
    </xf>
    <xf numFmtId="0" fontId="7" fillId="27" borderId="77" xfId="2" applyFont="1" applyFill="1" applyBorder="1" applyAlignment="1" applyProtection="1">
      <alignment horizontal="center" vertical="center"/>
      <protection locked="0"/>
    </xf>
    <xf numFmtId="0" fontId="7" fillId="27" borderId="45" xfId="2" applyFont="1" applyFill="1" applyBorder="1" applyAlignment="1" applyProtection="1">
      <alignment horizontal="center" vertical="center"/>
      <protection locked="0"/>
    </xf>
    <xf numFmtId="0" fontId="64" fillId="0" borderId="19" xfId="2" applyFont="1" applyBorder="1" applyAlignment="1">
      <alignment horizontal="left" vertical="center" wrapText="1"/>
    </xf>
    <xf numFmtId="0" fontId="64" fillId="0" borderId="20" xfId="2" applyFont="1" applyBorder="1" applyAlignment="1">
      <alignment horizontal="left" vertical="center" wrapText="1"/>
    </xf>
    <xf numFmtId="0" fontId="64" fillId="0" borderId="34" xfId="2" applyFont="1" applyBorder="1" applyAlignment="1">
      <alignment horizontal="left" vertical="center" wrapText="1"/>
    </xf>
    <xf numFmtId="0" fontId="65" fillId="0" borderId="6" xfId="2" applyFont="1" applyBorder="1" applyAlignment="1">
      <alignment vertical="center" wrapText="1"/>
    </xf>
    <xf numFmtId="0" fontId="65" fillId="0" borderId="0" xfId="2" applyFont="1" applyAlignment="1">
      <alignment vertical="center" wrapText="1"/>
    </xf>
    <xf numFmtId="0" fontId="65" fillId="0" borderId="9" xfId="2" applyFont="1" applyBorder="1" applyAlignment="1">
      <alignment vertical="center" wrapText="1"/>
    </xf>
    <xf numFmtId="0" fontId="65" fillId="0" borderId="32" xfId="2" applyFont="1" applyBorder="1" applyAlignment="1">
      <alignment vertical="center" wrapText="1"/>
    </xf>
    <xf numFmtId="0" fontId="65" fillId="0" borderId="5" xfId="2" applyFont="1" applyBorder="1" applyAlignment="1">
      <alignment vertical="center" wrapText="1"/>
    </xf>
    <xf numFmtId="0" fontId="65" fillId="0" borderId="14" xfId="2" applyFont="1" applyBorder="1" applyAlignment="1">
      <alignment vertical="center" wrapText="1"/>
    </xf>
    <xf numFmtId="0" fontId="22" fillId="9" borderId="79" xfId="2" applyFont="1" applyFill="1" applyBorder="1" applyAlignment="1" applyProtection="1">
      <alignment horizontal="center" vertical="center" wrapText="1"/>
      <protection locked="0"/>
    </xf>
    <xf numFmtId="0" fontId="22" fillId="9" borderId="50" xfId="2" applyFont="1" applyFill="1" applyBorder="1" applyAlignment="1" applyProtection="1">
      <alignment horizontal="center" vertical="center" wrapText="1"/>
      <protection locked="0"/>
    </xf>
    <xf numFmtId="0" fontId="22" fillId="9" borderId="144" xfId="2" applyFont="1" applyFill="1" applyBorder="1" applyAlignment="1" applyProtection="1">
      <alignment horizontal="center" vertical="center" wrapText="1"/>
      <protection locked="0"/>
    </xf>
    <xf numFmtId="49" fontId="22" fillId="0" borderId="145" xfId="0" applyNumberFormat="1" applyFont="1" applyBorder="1" applyAlignment="1" applyProtection="1">
      <alignment horizontal="left" vertical="center" shrinkToFit="1"/>
      <protection locked="0"/>
    </xf>
    <xf numFmtId="49" fontId="22" fillId="0" borderId="50" xfId="0" applyNumberFormat="1" applyFont="1" applyBorder="1" applyAlignment="1" applyProtection="1">
      <alignment horizontal="left" vertical="center" shrinkToFit="1"/>
      <protection locked="0"/>
    </xf>
    <xf numFmtId="49" fontId="22" fillId="0" borderId="144" xfId="0" applyNumberFormat="1" applyFont="1" applyBorder="1" applyAlignment="1" applyProtection="1">
      <alignment horizontal="left" vertical="center" shrinkToFit="1"/>
      <protection locked="0"/>
    </xf>
    <xf numFmtId="0" fontId="22" fillId="9" borderId="50" xfId="2" applyFont="1" applyFill="1" applyBorder="1" applyAlignment="1" applyProtection="1">
      <alignment horizontal="center" vertical="center" shrinkToFit="1"/>
      <protection locked="0"/>
    </xf>
    <xf numFmtId="0" fontId="22" fillId="9" borderId="144" xfId="2" applyFont="1" applyFill="1" applyBorder="1" applyAlignment="1" applyProtection="1">
      <alignment horizontal="center" vertical="center" shrinkToFit="1"/>
      <protection locked="0"/>
    </xf>
    <xf numFmtId="0" fontId="23" fillId="0" borderId="145" xfId="2" applyFont="1" applyBorder="1" applyAlignment="1" applyProtection="1">
      <alignment horizontal="center" vertical="center" shrinkToFit="1"/>
      <protection locked="0"/>
    </xf>
    <xf numFmtId="0" fontId="22" fillId="0" borderId="50" xfId="2" applyFont="1" applyBorder="1" applyAlignment="1" applyProtection="1">
      <alignment horizontal="center" vertical="center" shrinkToFit="1"/>
      <protection locked="0"/>
    </xf>
    <xf numFmtId="0" fontId="22" fillId="0" borderId="41" xfId="2" applyFont="1" applyBorder="1" applyAlignment="1" applyProtection="1">
      <alignment horizontal="center" vertical="center" shrinkToFit="1"/>
      <protection locked="0"/>
    </xf>
    <xf numFmtId="0" fontId="56" fillId="9" borderId="6" xfId="0" applyFont="1" applyFill="1" applyBorder="1" applyAlignment="1" applyProtection="1">
      <alignment horizontal="center" vertical="center" shrinkToFit="1"/>
      <protection locked="0"/>
    </xf>
    <xf numFmtId="0" fontId="56" fillId="9" borderId="0" xfId="0" applyFont="1" applyFill="1" applyAlignment="1" applyProtection="1">
      <alignment horizontal="center" vertical="center" shrinkToFit="1"/>
      <protection locked="0"/>
    </xf>
    <xf numFmtId="0" fontId="56" fillId="9" borderId="68" xfId="0" applyFont="1" applyFill="1" applyBorder="1" applyAlignment="1" applyProtection="1">
      <alignment horizontal="center" vertical="center" shrinkToFit="1"/>
      <protection locked="0"/>
    </xf>
    <xf numFmtId="0" fontId="56" fillId="9" borderId="32" xfId="0" applyFont="1" applyFill="1" applyBorder="1" applyAlignment="1" applyProtection="1">
      <alignment horizontal="center" vertical="center" shrinkToFit="1"/>
      <protection locked="0"/>
    </xf>
    <xf numFmtId="0" fontId="56" fillId="9" borderId="5" xfId="0" applyFont="1" applyFill="1" applyBorder="1" applyAlignment="1" applyProtection="1">
      <alignment horizontal="center" vertical="center" shrinkToFit="1"/>
      <protection locked="0"/>
    </xf>
    <xf numFmtId="0" fontId="56" fillId="9" borderId="75" xfId="0" applyFont="1" applyFill="1" applyBorder="1" applyAlignment="1" applyProtection="1">
      <alignment horizontal="center" vertical="center" shrinkToFit="1"/>
      <protection locked="0"/>
    </xf>
    <xf numFmtId="0" fontId="22" fillId="9" borderId="7" xfId="2" applyFont="1" applyFill="1" applyBorder="1" applyAlignment="1" applyProtection="1">
      <alignment horizontal="distributed" vertical="center"/>
      <protection locked="0"/>
    </xf>
    <xf numFmtId="0" fontId="22" fillId="9" borderId="6" xfId="2" applyFont="1" applyFill="1" applyBorder="1" applyAlignment="1" applyProtection="1">
      <alignment horizontal="center" vertical="center" wrapText="1"/>
      <protection locked="0"/>
    </xf>
    <xf numFmtId="0" fontId="36" fillId="9" borderId="0" xfId="0" applyFont="1" applyFill="1" applyAlignment="1" applyProtection="1">
      <alignment horizontal="center" vertical="center" wrapText="1"/>
      <protection locked="0"/>
    </xf>
    <xf numFmtId="0" fontId="36" fillId="9" borderId="68" xfId="0" applyFont="1" applyFill="1" applyBorder="1" applyAlignment="1" applyProtection="1">
      <alignment horizontal="center" vertical="center" wrapText="1"/>
      <protection locked="0"/>
    </xf>
    <xf numFmtId="0" fontId="23" fillId="0" borderId="73" xfId="2" applyFont="1" applyBorder="1" applyAlignment="1" applyProtection="1">
      <alignment horizontal="center" vertical="center" shrinkToFit="1"/>
      <protection locked="0"/>
    </xf>
    <xf numFmtId="0" fontId="23" fillId="0" borderId="60" xfId="2" applyFont="1" applyBorder="1" applyAlignment="1" applyProtection="1">
      <alignment horizontal="center" vertical="center" shrinkToFit="1"/>
      <protection locked="0"/>
    </xf>
    <xf numFmtId="0" fontId="23" fillId="0" borderId="40" xfId="2" applyFont="1" applyBorder="1" applyAlignment="1" applyProtection="1">
      <alignment horizontal="center" vertical="center" shrinkToFit="1"/>
      <protection locked="0"/>
    </xf>
    <xf numFmtId="0" fontId="22" fillId="9" borderId="141" xfId="2" applyFont="1" applyFill="1" applyBorder="1" applyAlignment="1" applyProtection="1">
      <alignment horizontal="center" vertical="center" wrapText="1" shrinkToFit="1"/>
      <protection locked="0"/>
    </xf>
    <xf numFmtId="0" fontId="36" fillId="9" borderId="139" xfId="0" applyFont="1" applyFill="1" applyBorder="1" applyAlignment="1" applyProtection="1">
      <alignment horizontal="center" vertical="center" shrinkToFit="1"/>
      <protection locked="0"/>
    </xf>
    <xf numFmtId="0" fontId="36" fillId="9" borderId="142" xfId="0" applyFont="1" applyFill="1" applyBorder="1" applyAlignment="1" applyProtection="1">
      <alignment horizontal="center" vertical="center" shrinkToFit="1"/>
      <protection locked="0"/>
    </xf>
    <xf numFmtId="49" fontId="22" fillId="0" borderId="48" xfId="0" applyNumberFormat="1" applyFont="1" applyBorder="1" applyAlignment="1" applyProtection="1">
      <alignment horizontal="left" vertical="center" shrinkToFit="1"/>
      <protection locked="0"/>
    </xf>
    <xf numFmtId="49" fontId="22" fillId="0" borderId="5" xfId="0" applyNumberFormat="1" applyFont="1" applyBorder="1" applyAlignment="1" applyProtection="1">
      <alignment horizontal="left" vertical="center" shrinkToFit="1"/>
      <protection locked="0"/>
    </xf>
    <xf numFmtId="49" fontId="22" fillId="0" borderId="75" xfId="0" applyNumberFormat="1" applyFont="1" applyBorder="1" applyAlignment="1" applyProtection="1">
      <alignment horizontal="left" vertical="center" shrinkToFit="1"/>
      <protection locked="0"/>
    </xf>
    <xf numFmtId="0" fontId="22" fillId="9" borderId="48" xfId="2" applyFont="1" applyFill="1" applyBorder="1" applyAlignment="1" applyProtection="1">
      <alignment horizontal="center" vertical="center" shrinkToFit="1"/>
      <protection locked="0"/>
    </xf>
    <xf numFmtId="0" fontId="22" fillId="9" borderId="5" xfId="2" applyFont="1" applyFill="1" applyBorder="1" applyAlignment="1" applyProtection="1">
      <alignment horizontal="center" vertical="center" shrinkToFit="1"/>
      <protection locked="0"/>
    </xf>
    <xf numFmtId="0" fontId="22" fillId="9" borderId="75" xfId="2" applyFont="1" applyFill="1" applyBorder="1" applyAlignment="1" applyProtection="1">
      <alignment horizontal="center" vertical="center" shrinkToFit="1"/>
      <protection locked="0"/>
    </xf>
    <xf numFmtId="0" fontId="23" fillId="0" borderId="137" xfId="2" applyFont="1" applyBorder="1" applyAlignment="1" applyProtection="1">
      <alignment horizontal="center" vertical="center" shrinkToFit="1"/>
      <protection locked="0"/>
    </xf>
    <xf numFmtId="0" fontId="23" fillId="0" borderId="139" xfId="2" applyFont="1" applyBorder="1" applyAlignment="1" applyProtection="1">
      <alignment horizontal="center" vertical="center" shrinkToFit="1"/>
      <protection locked="0"/>
    </xf>
    <xf numFmtId="0" fontId="23" fillId="0" borderId="138" xfId="2" applyFont="1" applyBorder="1" applyAlignment="1" applyProtection="1">
      <alignment horizontal="center" vertical="center" shrinkToFit="1"/>
      <protection locked="0"/>
    </xf>
    <xf numFmtId="0" fontId="22" fillId="9" borderId="73" xfId="2" applyFont="1" applyFill="1" applyBorder="1" applyAlignment="1" applyProtection="1">
      <alignment horizontal="center" vertical="center"/>
      <protection locked="0"/>
    </xf>
    <xf numFmtId="0" fontId="22" fillId="9" borderId="60" xfId="2" applyFont="1" applyFill="1" applyBorder="1" applyAlignment="1" applyProtection="1">
      <alignment horizontal="center" vertical="center"/>
      <protection locked="0"/>
    </xf>
    <xf numFmtId="0" fontId="22" fillId="9" borderId="61" xfId="2" applyFont="1" applyFill="1" applyBorder="1" applyAlignment="1" applyProtection="1">
      <alignment horizontal="center" vertical="center"/>
      <protection locked="0"/>
    </xf>
    <xf numFmtId="0" fontId="39" fillId="9" borderId="0" xfId="2" applyFont="1" applyFill="1" applyAlignment="1" applyProtection="1">
      <alignment horizontal="center" vertical="center" shrinkToFit="1"/>
      <protection locked="0"/>
    </xf>
    <xf numFmtId="0" fontId="39" fillId="9" borderId="0" xfId="2" applyFont="1" applyFill="1" applyAlignment="1" applyProtection="1">
      <alignment horizontal="center" vertical="center"/>
      <protection locked="0"/>
    </xf>
    <xf numFmtId="0" fontId="35" fillId="10" borderId="0" xfId="1" applyFont="1" applyFill="1" applyAlignment="1" applyProtection="1">
      <alignment horizontal="center" vertical="center"/>
      <protection locked="0"/>
    </xf>
    <xf numFmtId="0" fontId="9" fillId="27" borderId="76" xfId="2" applyFont="1" applyFill="1" applyBorder="1" applyAlignment="1" applyProtection="1">
      <alignment horizontal="center" vertical="center"/>
      <protection locked="0"/>
    </xf>
    <xf numFmtId="0" fontId="9" fillId="27" borderId="77" xfId="2" applyFont="1" applyFill="1" applyBorder="1" applyAlignment="1" applyProtection="1">
      <alignment horizontal="center" vertical="center"/>
      <protection locked="0"/>
    </xf>
    <xf numFmtId="0" fontId="9" fillId="27" borderId="45" xfId="2" applyFont="1" applyFill="1" applyBorder="1" applyAlignment="1" applyProtection="1">
      <alignment horizontal="center" vertical="center"/>
      <protection locked="0"/>
    </xf>
    <xf numFmtId="0" fontId="9" fillId="26" borderId="81" xfId="2" applyFont="1" applyFill="1" applyBorder="1" applyAlignment="1" applyProtection="1">
      <alignment horizontal="center" vertical="center"/>
      <protection locked="0"/>
    </xf>
    <xf numFmtId="0" fontId="9" fillId="26" borderId="128" xfId="2" applyFont="1" applyFill="1" applyBorder="1" applyAlignment="1" applyProtection="1">
      <alignment horizontal="center" vertical="center"/>
      <protection locked="0"/>
    </xf>
    <xf numFmtId="0" fontId="9" fillId="26" borderId="123" xfId="2" applyFont="1" applyFill="1" applyBorder="1" applyAlignment="1" applyProtection="1">
      <alignment horizontal="center" vertical="center"/>
      <protection locked="0"/>
    </xf>
    <xf numFmtId="0" fontId="9" fillId="26" borderId="76" xfId="2" applyFont="1" applyFill="1" applyBorder="1" applyAlignment="1" applyProtection="1">
      <alignment horizontal="center" vertical="center"/>
      <protection locked="0"/>
    </xf>
    <xf numFmtId="0" fontId="9" fillId="26" borderId="77" xfId="2" applyFont="1" applyFill="1" applyBorder="1" applyAlignment="1" applyProtection="1">
      <alignment horizontal="center" vertical="center"/>
      <protection locked="0"/>
    </xf>
    <xf numFmtId="0" fontId="9" fillId="26" borderId="45" xfId="2" applyFont="1" applyFill="1" applyBorder="1" applyAlignment="1" applyProtection="1">
      <alignment horizontal="center" vertical="center"/>
      <protection locked="0"/>
    </xf>
    <xf numFmtId="0" fontId="7" fillId="0" borderId="19" xfId="2" applyFont="1" applyBorder="1" applyAlignment="1" applyProtection="1">
      <alignment horizontal="center" vertical="center" wrapText="1"/>
      <protection locked="0"/>
    </xf>
    <xf numFmtId="0" fontId="7" fillId="0" borderId="20" xfId="2" applyFont="1" applyBorder="1" applyAlignment="1" applyProtection="1">
      <alignment horizontal="center" vertical="center" wrapText="1"/>
      <protection locked="0"/>
    </xf>
    <xf numFmtId="0" fontId="7" fillId="0" borderId="34" xfId="2" applyFont="1" applyBorder="1" applyAlignment="1" applyProtection="1">
      <alignment horizontal="center" vertical="center" wrapText="1"/>
      <protection locked="0"/>
    </xf>
    <xf numFmtId="0" fontId="7" fillId="0" borderId="6" xfId="2" applyFont="1" applyBorder="1" applyAlignment="1" applyProtection="1">
      <alignment horizontal="center" vertical="center" wrapText="1"/>
      <protection locked="0"/>
    </xf>
    <xf numFmtId="0" fontId="7" fillId="0" borderId="0" xfId="2" applyFont="1" applyAlignment="1" applyProtection="1">
      <alignment horizontal="center" vertical="center" wrapText="1"/>
      <protection locked="0"/>
    </xf>
    <xf numFmtId="0" fontId="7" fillId="0" borderId="9" xfId="2" applyFont="1" applyBorder="1" applyAlignment="1" applyProtection="1">
      <alignment horizontal="center" vertical="center" wrapText="1"/>
      <protection locked="0"/>
    </xf>
    <xf numFmtId="0" fontId="7" fillId="0" borderId="32" xfId="2" applyFont="1" applyBorder="1" applyAlignment="1" applyProtection="1">
      <alignment horizontal="center" vertical="center" wrapText="1"/>
      <protection locked="0"/>
    </xf>
    <xf numFmtId="0" fontId="7" fillId="0" borderId="5" xfId="2" applyFont="1" applyBorder="1" applyAlignment="1" applyProtection="1">
      <alignment horizontal="center" vertical="center" wrapText="1"/>
      <protection locked="0"/>
    </xf>
    <xf numFmtId="0" fontId="7" fillId="0" borderId="14" xfId="2" applyFont="1" applyBorder="1" applyAlignment="1" applyProtection="1">
      <alignment horizontal="center" vertical="center" wrapText="1"/>
      <protection locked="0"/>
    </xf>
    <xf numFmtId="0" fontId="4" fillId="0" borderId="19" xfId="2" applyFont="1" applyBorder="1" applyAlignment="1" applyProtection="1">
      <alignment horizontal="center" vertical="center" wrapText="1"/>
      <protection locked="0"/>
    </xf>
    <xf numFmtId="0" fontId="4" fillId="0" borderId="20" xfId="2" applyFont="1" applyBorder="1" applyAlignment="1" applyProtection="1">
      <alignment horizontal="center" vertical="center" wrapText="1"/>
      <protection locked="0"/>
    </xf>
    <xf numFmtId="0" fontId="4" fillId="0" borderId="34" xfId="2" applyFont="1" applyBorder="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4" fillId="0" borderId="17" xfId="2" applyFont="1" applyBorder="1" applyAlignment="1" applyProtection="1">
      <alignment horizontal="center" vertical="center" wrapText="1"/>
      <protection locked="0"/>
    </xf>
    <xf numFmtId="0" fontId="4" fillId="0" borderId="15" xfId="2" applyFont="1" applyBorder="1" applyAlignment="1" applyProtection="1">
      <alignment horizontal="center" vertical="center" wrapText="1"/>
      <protection locked="0"/>
    </xf>
    <xf numFmtId="0" fontId="10" fillId="5" borderId="19" xfId="2" applyFont="1" applyFill="1" applyBorder="1" applyAlignment="1">
      <alignment horizontal="center" vertical="center"/>
    </xf>
    <xf numFmtId="0" fontId="10" fillId="5" borderId="20" xfId="2" applyFont="1" applyFill="1" applyBorder="1" applyAlignment="1">
      <alignment horizontal="center" vertical="center"/>
    </xf>
    <xf numFmtId="0" fontId="10" fillId="5" borderId="34" xfId="2" applyFont="1" applyFill="1" applyBorder="1" applyAlignment="1">
      <alignment horizontal="center" vertical="center"/>
    </xf>
    <xf numFmtId="0" fontId="10" fillId="5" borderId="32" xfId="2" applyFont="1" applyFill="1" applyBorder="1" applyAlignment="1">
      <alignment horizontal="center" vertical="center"/>
    </xf>
    <xf numFmtId="0" fontId="10" fillId="5" borderId="5" xfId="2" applyFont="1" applyFill="1" applyBorder="1" applyAlignment="1">
      <alignment horizontal="center" vertical="center"/>
    </xf>
    <xf numFmtId="0" fontId="10" fillId="5" borderId="14" xfId="2" applyFont="1" applyFill="1" applyBorder="1" applyAlignment="1">
      <alignment horizontal="center" vertical="center"/>
    </xf>
    <xf numFmtId="0" fontId="10" fillId="5" borderId="140" xfId="2" applyFont="1" applyFill="1" applyBorder="1" applyAlignment="1">
      <alignment horizontal="center" vertical="center" wrapText="1"/>
    </xf>
    <xf numFmtId="0" fontId="10" fillId="5" borderId="2" xfId="2" applyFont="1" applyFill="1" applyBorder="1" applyAlignment="1">
      <alignment horizontal="center" vertical="center" wrapText="1"/>
    </xf>
    <xf numFmtId="0" fontId="10" fillId="5" borderId="136" xfId="2" applyFont="1" applyFill="1" applyBorder="1" applyAlignment="1">
      <alignment horizontal="center" vertical="center" wrapText="1"/>
    </xf>
    <xf numFmtId="0" fontId="7" fillId="8" borderId="86" xfId="2" applyFont="1" applyFill="1" applyBorder="1" applyAlignment="1" applyProtection="1">
      <alignment horizontal="center" vertical="center"/>
      <protection locked="0"/>
    </xf>
    <xf numFmtId="0" fontId="7" fillId="8" borderId="85" xfId="2" applyFont="1" applyFill="1" applyBorder="1" applyAlignment="1" applyProtection="1">
      <alignment horizontal="center" vertical="center"/>
      <protection locked="0"/>
    </xf>
    <xf numFmtId="0" fontId="75" fillId="9" borderId="11" xfId="2" applyFont="1" applyFill="1" applyBorder="1" applyAlignment="1">
      <alignment horizontal="center" vertical="center"/>
    </xf>
    <xf numFmtId="0" fontId="22" fillId="9" borderId="24" xfId="0" applyFont="1" applyFill="1" applyBorder="1" applyAlignment="1" applyProtection="1">
      <alignment horizontal="center" vertical="center" shrinkToFit="1"/>
      <protection locked="0"/>
    </xf>
    <xf numFmtId="0" fontId="22" fillId="9" borderId="25" xfId="0" applyFont="1" applyFill="1" applyBorder="1" applyAlignment="1" applyProtection="1">
      <alignment horizontal="center" vertical="center" shrinkToFit="1"/>
      <protection locked="0"/>
    </xf>
    <xf numFmtId="0" fontId="22" fillId="9" borderId="66" xfId="0" applyFont="1" applyFill="1" applyBorder="1" applyAlignment="1" applyProtection="1">
      <alignment horizontal="center" vertical="center" shrinkToFit="1"/>
      <protection locked="0"/>
    </xf>
    <xf numFmtId="3" fontId="22" fillId="5" borderId="49" xfId="2" applyNumberFormat="1" applyFont="1" applyFill="1" applyBorder="1" applyAlignment="1">
      <alignment horizontal="center" vertical="center"/>
    </xf>
    <xf numFmtId="3" fontId="22" fillId="5" borderId="129" xfId="2" applyNumberFormat="1" applyFont="1" applyFill="1" applyBorder="1" applyAlignment="1">
      <alignment horizontal="center" vertical="center"/>
    </xf>
    <xf numFmtId="3" fontId="22" fillId="5" borderId="21" xfId="2" applyNumberFormat="1" applyFont="1" applyFill="1" applyBorder="1" applyAlignment="1">
      <alignment horizontal="center" vertical="center"/>
    </xf>
    <xf numFmtId="3" fontId="22" fillId="5" borderId="136" xfId="2" applyNumberFormat="1" applyFont="1" applyFill="1" applyBorder="1" applyAlignment="1">
      <alignment horizontal="center" vertical="center"/>
    </xf>
    <xf numFmtId="0" fontId="44" fillId="9" borderId="0" xfId="2" applyFont="1" applyFill="1" applyAlignment="1" applyProtection="1">
      <alignment horizontal="right" vertical="top"/>
      <protection locked="0"/>
    </xf>
    <xf numFmtId="0" fontId="29" fillId="9" borderId="0" xfId="2" applyFont="1" applyFill="1" applyAlignment="1" applyProtection="1">
      <alignment horizontal="left" vertical="top" wrapText="1"/>
      <protection locked="0"/>
    </xf>
    <xf numFmtId="0" fontId="22" fillId="9" borderId="70" xfId="2" applyFont="1" applyFill="1" applyBorder="1" applyAlignment="1" applyProtection="1">
      <alignment horizontal="center" vertical="center" textRotation="255" shrinkToFit="1"/>
      <protection locked="0"/>
    </xf>
    <xf numFmtId="0" fontId="22" fillId="9" borderId="72" xfId="2" applyFont="1" applyFill="1" applyBorder="1" applyAlignment="1" applyProtection="1">
      <alignment horizontal="center" vertical="center" textRotation="255" shrinkToFit="1"/>
      <protection locked="0"/>
    </xf>
    <xf numFmtId="0" fontId="22" fillId="9" borderId="93" xfId="2" applyFont="1" applyFill="1" applyBorder="1" applyAlignment="1" applyProtection="1">
      <alignment horizontal="center" vertical="center" textRotation="255" shrinkToFit="1"/>
      <protection locked="0"/>
    </xf>
    <xf numFmtId="0" fontId="28" fillId="0" borderId="1" xfId="2" applyFont="1" applyBorder="1" applyAlignment="1" applyProtection="1">
      <alignment horizontal="center" vertical="center" shrinkToFit="1"/>
      <protection locked="0"/>
    </xf>
    <xf numFmtId="0" fontId="28" fillId="0" borderId="62" xfId="2" applyFont="1" applyBorder="1" applyAlignment="1" applyProtection="1">
      <alignment horizontal="center" vertical="center" shrinkToFit="1"/>
      <protection locked="0"/>
    </xf>
    <xf numFmtId="3" fontId="22" fillId="0" borderId="130" xfId="2" applyNumberFormat="1" applyFont="1" applyBorder="1" applyAlignment="1" applyProtection="1">
      <alignment horizontal="center" vertical="center"/>
      <protection locked="0"/>
    </xf>
    <xf numFmtId="3" fontId="22" fillId="0" borderId="3" xfId="2" applyNumberFormat="1" applyFont="1" applyBorder="1" applyAlignment="1" applyProtection="1">
      <alignment horizontal="center" vertical="center"/>
      <protection locked="0"/>
    </xf>
    <xf numFmtId="3" fontId="22" fillId="0" borderId="71" xfId="2" applyNumberFormat="1" applyFont="1" applyBorder="1" applyAlignment="1" applyProtection="1">
      <alignment horizontal="center" vertical="center"/>
      <protection locked="0"/>
    </xf>
    <xf numFmtId="3" fontId="22" fillId="0" borderId="28" xfId="2" applyNumberFormat="1" applyFont="1" applyBorder="1" applyAlignment="1" applyProtection="1">
      <alignment horizontal="center" vertical="center"/>
      <protection locked="0"/>
    </xf>
    <xf numFmtId="3" fontId="22" fillId="5" borderId="135" xfId="2" applyNumberFormat="1" applyFont="1" applyFill="1" applyBorder="1" applyAlignment="1">
      <alignment horizontal="center" vertical="center"/>
    </xf>
    <xf numFmtId="0" fontId="28" fillId="9" borderId="6" xfId="2" applyFont="1" applyFill="1" applyBorder="1" applyAlignment="1" applyProtection="1">
      <alignment horizontal="distributed" vertical="center" wrapText="1"/>
      <protection locked="0"/>
    </xf>
    <xf numFmtId="0" fontId="33" fillId="9" borderId="0" xfId="2" applyFont="1" applyFill="1" applyProtection="1">
      <alignment vertical="center"/>
      <protection locked="0"/>
    </xf>
    <xf numFmtId="0" fontId="33" fillId="9" borderId="49" xfId="2" applyFont="1" applyFill="1" applyBorder="1" applyProtection="1">
      <alignment vertical="center"/>
      <protection locked="0"/>
    </xf>
    <xf numFmtId="0" fontId="33" fillId="9" borderId="6" xfId="2" applyFont="1" applyFill="1" applyBorder="1" applyProtection="1">
      <alignment vertical="center"/>
      <protection locked="0"/>
    </xf>
    <xf numFmtId="3" fontId="22" fillId="0" borderId="64" xfId="2" applyNumberFormat="1" applyFont="1" applyBorder="1" applyAlignment="1" applyProtection="1">
      <alignment horizontal="center" vertical="center"/>
      <protection locked="0"/>
    </xf>
    <xf numFmtId="3" fontId="22" fillId="9" borderId="130" xfId="2" applyNumberFormat="1" applyFont="1" applyFill="1" applyBorder="1" applyAlignment="1" applyProtection="1">
      <alignment horizontal="center" vertical="center"/>
      <protection locked="0"/>
    </xf>
    <xf numFmtId="3" fontId="22" fillId="9" borderId="71" xfId="2" applyNumberFormat="1" applyFont="1" applyFill="1" applyBorder="1" applyAlignment="1" applyProtection="1">
      <alignment horizontal="center" vertical="center" wrapText="1"/>
      <protection locked="0"/>
    </xf>
    <xf numFmtId="3" fontId="22" fillId="9" borderId="71" xfId="2" applyNumberFormat="1" applyFont="1" applyFill="1" applyBorder="1" applyAlignment="1" applyProtection="1">
      <alignment horizontal="center" vertical="center"/>
      <protection locked="0"/>
    </xf>
    <xf numFmtId="177" fontId="22" fillId="5" borderId="47" xfId="2" applyNumberFormat="1" applyFont="1" applyFill="1" applyBorder="1" applyAlignment="1">
      <alignment horizontal="right" vertical="center"/>
    </xf>
    <xf numFmtId="3" fontId="22" fillId="0" borderId="4" xfId="2" applyNumberFormat="1" applyFont="1" applyBorder="1" applyAlignment="1" applyProtection="1">
      <alignment horizontal="center" vertical="center"/>
      <protection locked="0"/>
    </xf>
    <xf numFmtId="3" fontId="22" fillId="5" borderId="137" xfId="2" applyNumberFormat="1" applyFont="1" applyFill="1" applyBorder="1" applyAlignment="1">
      <alignment horizontal="center" vertical="center"/>
    </xf>
    <xf numFmtId="3" fontId="22" fillId="5" borderId="138" xfId="2" applyNumberFormat="1" applyFont="1" applyFill="1" applyBorder="1" applyAlignment="1">
      <alignment horizontal="center" vertical="center"/>
    </xf>
    <xf numFmtId="176" fontId="22" fillId="9" borderId="65" xfId="2" applyNumberFormat="1" applyFont="1" applyFill="1" applyBorder="1" applyAlignment="1" applyProtection="1">
      <alignment horizontal="center" vertical="center"/>
      <protection locked="0"/>
    </xf>
    <xf numFmtId="0" fontId="41" fillId="9" borderId="11" xfId="2" applyFont="1" applyFill="1" applyBorder="1" applyAlignment="1" applyProtection="1">
      <alignment horizontal="center" vertical="center"/>
      <protection locked="0"/>
    </xf>
    <xf numFmtId="0" fontId="41" fillId="9" borderId="74" xfId="2" applyFont="1" applyFill="1" applyBorder="1" applyAlignment="1" applyProtection="1">
      <alignment horizontal="center" vertical="center"/>
      <protection locked="0"/>
    </xf>
    <xf numFmtId="0" fontId="41" fillId="9" borderId="67" xfId="2" applyFont="1" applyFill="1" applyBorder="1" applyAlignment="1" applyProtection="1">
      <alignment horizontal="center" vertical="center"/>
      <protection locked="0"/>
    </xf>
    <xf numFmtId="0" fontId="41" fillId="9" borderId="17" xfId="2" applyFont="1" applyFill="1" applyBorder="1" applyAlignment="1" applyProtection="1">
      <alignment horizontal="center" vertical="center"/>
      <protection locked="0"/>
    </xf>
    <xf numFmtId="0" fontId="41" fillId="9" borderId="18" xfId="2" applyFont="1" applyFill="1" applyBorder="1" applyAlignment="1" applyProtection="1">
      <alignment horizontal="center" vertical="center"/>
      <protection locked="0"/>
    </xf>
    <xf numFmtId="0" fontId="22" fillId="5" borderId="69" xfId="2" applyFont="1" applyFill="1" applyBorder="1" applyAlignment="1" applyProtection="1">
      <alignment horizontal="center" vertical="center"/>
      <protection locked="0"/>
    </xf>
    <xf numFmtId="0" fontId="22" fillId="5" borderId="47" xfId="2" applyFont="1" applyFill="1" applyBorder="1" applyAlignment="1" applyProtection="1">
      <alignment horizontal="center" vertical="center"/>
      <protection locked="0"/>
    </xf>
    <xf numFmtId="0" fontId="28" fillId="9" borderId="69" xfId="2" applyFont="1" applyFill="1" applyBorder="1" applyAlignment="1" applyProtection="1">
      <alignment horizontal="center" vertical="center"/>
      <protection locked="0"/>
    </xf>
    <xf numFmtId="0" fontId="28" fillId="9" borderId="47" xfId="2" applyFont="1" applyFill="1" applyBorder="1" applyAlignment="1" applyProtection="1">
      <alignment horizontal="center" vertical="center"/>
      <protection locked="0"/>
    </xf>
    <xf numFmtId="177" fontId="22" fillId="0" borderId="64" xfId="2" applyNumberFormat="1" applyFont="1" applyBorder="1" applyAlignment="1" applyProtection="1">
      <alignment horizontal="right" vertical="center"/>
      <protection locked="0"/>
    </xf>
    <xf numFmtId="177" fontId="22" fillId="0" borderId="47" xfId="2" applyNumberFormat="1" applyFont="1" applyBorder="1" applyAlignment="1" applyProtection="1">
      <alignment horizontal="right" vertical="center"/>
      <protection locked="0"/>
    </xf>
    <xf numFmtId="177" fontId="22" fillId="5" borderId="64" xfId="2" applyNumberFormat="1" applyFont="1" applyFill="1" applyBorder="1" applyAlignment="1">
      <alignment horizontal="right" vertical="center"/>
    </xf>
    <xf numFmtId="177" fontId="22" fillId="5" borderId="84" xfId="2" applyNumberFormat="1" applyFont="1" applyFill="1" applyBorder="1" applyAlignment="1">
      <alignment horizontal="right" vertical="center"/>
    </xf>
    <xf numFmtId="0" fontId="28" fillId="9" borderId="83" xfId="2" applyFont="1" applyFill="1" applyBorder="1" applyAlignment="1" applyProtection="1">
      <alignment horizontal="center" vertical="center"/>
      <protection locked="0"/>
    </xf>
    <xf numFmtId="0" fontId="28" fillId="9" borderId="64"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protection locked="0"/>
    </xf>
    <xf numFmtId="0" fontId="22" fillId="9" borderId="67" xfId="2" applyFont="1" applyFill="1" applyBorder="1" applyAlignment="1" applyProtection="1">
      <alignment horizontal="center" vertical="center"/>
      <protection locked="0"/>
    </xf>
    <xf numFmtId="0" fontId="22" fillId="9" borderId="65" xfId="2" applyFont="1" applyFill="1" applyBorder="1" applyAlignment="1" applyProtection="1">
      <alignment horizontal="center" vertical="center" wrapText="1"/>
      <protection locked="0"/>
    </xf>
    <xf numFmtId="0" fontId="22" fillId="9" borderId="57" xfId="2" applyFont="1" applyFill="1" applyBorder="1" applyAlignment="1" applyProtection="1">
      <alignment horizontal="center" vertical="center"/>
      <protection locked="0"/>
    </xf>
    <xf numFmtId="0" fontId="22" fillId="9" borderId="15" xfId="2" applyFont="1" applyFill="1" applyBorder="1" applyAlignment="1" applyProtection="1">
      <alignment horizontal="center" vertical="center"/>
      <protection locked="0"/>
    </xf>
    <xf numFmtId="0" fontId="22" fillId="0" borderId="13" xfId="2" applyFont="1" applyBorder="1" applyAlignment="1">
      <alignment horizontal="center" vertical="center" shrinkToFit="1"/>
    </xf>
    <xf numFmtId="0" fontId="22" fillId="0" borderId="26" xfId="2" applyFont="1" applyBorder="1" applyAlignment="1">
      <alignment horizontal="center" vertical="center" shrinkToFit="1"/>
    </xf>
    <xf numFmtId="0" fontId="22" fillId="9" borderId="82" xfId="2" applyFont="1" applyFill="1" applyBorder="1" applyAlignment="1" applyProtection="1">
      <alignment horizontal="center" vertical="center" shrinkToFit="1"/>
      <protection locked="0"/>
    </xf>
    <xf numFmtId="0" fontId="22" fillId="9" borderId="43" xfId="2" applyFont="1" applyFill="1" applyBorder="1" applyAlignment="1" applyProtection="1">
      <alignment horizontal="center" vertical="center" shrinkToFit="1"/>
      <protection locked="0"/>
    </xf>
    <xf numFmtId="0" fontId="22" fillId="9" borderId="94" xfId="2" applyFont="1" applyFill="1" applyBorder="1" applyAlignment="1" applyProtection="1">
      <alignment horizontal="center" vertical="center" shrinkToFit="1"/>
      <protection locked="0"/>
    </xf>
    <xf numFmtId="0" fontId="36" fillId="0" borderId="28" xfId="0" applyFont="1" applyBorder="1" applyAlignment="1" applyProtection="1">
      <alignment horizontal="center" vertical="top" wrapText="1"/>
      <protection locked="0"/>
    </xf>
    <xf numFmtId="0" fontId="36" fillId="0" borderId="20" xfId="0" applyFont="1" applyBorder="1" applyAlignment="1" applyProtection="1">
      <alignment horizontal="center" vertical="top" wrapText="1"/>
      <protection locked="0"/>
    </xf>
    <xf numFmtId="0" fontId="36" fillId="0" borderId="34" xfId="0" applyFont="1" applyBorder="1" applyAlignment="1" applyProtection="1">
      <alignment horizontal="center" vertical="top" wrapText="1"/>
      <protection locked="0"/>
    </xf>
    <xf numFmtId="0" fontId="36" fillId="0" borderId="30" xfId="0" applyFont="1" applyBorder="1" applyAlignment="1" applyProtection="1">
      <alignment horizontal="center" vertical="top" wrapText="1"/>
      <protection locked="0"/>
    </xf>
    <xf numFmtId="0" fontId="36" fillId="0" borderId="0" xfId="0" applyFont="1" applyAlignment="1" applyProtection="1">
      <alignment horizontal="center" vertical="top" wrapText="1"/>
      <protection locked="0"/>
    </xf>
    <xf numFmtId="0" fontId="36" fillId="0" borderId="9" xfId="0" applyFont="1" applyBorder="1" applyAlignment="1" applyProtection="1">
      <alignment horizontal="center" vertical="top" wrapText="1"/>
      <protection locked="0"/>
    </xf>
    <xf numFmtId="0" fontId="36" fillId="0" borderId="33" xfId="0" applyFont="1" applyBorder="1" applyAlignment="1" applyProtection="1">
      <alignment horizontal="center" vertical="top" wrapText="1"/>
      <protection locked="0"/>
    </xf>
    <xf numFmtId="0" fontId="36" fillId="0" borderId="5" xfId="0" applyFont="1" applyBorder="1" applyAlignment="1" applyProtection="1">
      <alignment horizontal="center" vertical="top" wrapText="1"/>
      <protection locked="0"/>
    </xf>
    <xf numFmtId="0" fontId="36" fillId="0" borderId="14" xfId="0" applyFont="1" applyBorder="1" applyAlignment="1" applyProtection="1">
      <alignment horizontal="center" vertical="top" wrapText="1"/>
      <protection locked="0"/>
    </xf>
    <xf numFmtId="0" fontId="22" fillId="9" borderId="76" xfId="2" applyFont="1" applyFill="1" applyBorder="1" applyAlignment="1" applyProtection="1">
      <alignment horizontal="center" vertical="center"/>
      <protection locked="0"/>
    </xf>
    <xf numFmtId="0" fontId="22" fillId="9" borderId="45" xfId="2" applyFont="1" applyFill="1" applyBorder="1" applyAlignment="1" applyProtection="1">
      <alignment horizontal="center" vertical="center"/>
      <protection locked="0"/>
    </xf>
    <xf numFmtId="0" fontId="30" fillId="0" borderId="20" xfId="2" applyFont="1" applyBorder="1" applyAlignment="1" applyProtection="1">
      <alignment horizontal="center" vertical="center" wrapText="1"/>
      <protection locked="0"/>
    </xf>
    <xf numFmtId="0" fontId="30" fillId="0" borderId="34" xfId="2" applyFont="1" applyBorder="1" applyAlignment="1" applyProtection="1">
      <alignment horizontal="center" vertical="center" wrapText="1"/>
      <protection locked="0"/>
    </xf>
    <xf numFmtId="0" fontId="30" fillId="0" borderId="0" xfId="2" applyFont="1" applyAlignment="1" applyProtection="1">
      <alignment horizontal="center" vertical="center" wrapText="1"/>
      <protection locked="0"/>
    </xf>
    <xf numFmtId="0" fontId="30" fillId="0" borderId="9" xfId="2" applyFont="1" applyBorder="1" applyAlignment="1" applyProtection="1">
      <alignment horizontal="center" vertical="center" wrapText="1"/>
      <protection locked="0"/>
    </xf>
    <xf numFmtId="0" fontId="30" fillId="0" borderId="5" xfId="2" applyFont="1" applyBorder="1" applyAlignment="1" applyProtection="1">
      <alignment horizontal="center" vertical="center" wrapText="1"/>
      <protection locked="0"/>
    </xf>
    <xf numFmtId="0" fontId="30" fillId="0" borderId="14" xfId="2" applyFont="1" applyBorder="1" applyAlignment="1" applyProtection="1">
      <alignment horizontal="center" vertical="center" wrapText="1"/>
      <protection locked="0"/>
    </xf>
    <xf numFmtId="3" fontId="22" fillId="0" borderId="127" xfId="2" applyNumberFormat="1" applyFont="1" applyBorder="1" applyAlignment="1" applyProtection="1">
      <alignment horizontal="right" vertical="center" shrinkToFit="1"/>
      <protection locked="0"/>
    </xf>
    <xf numFmtId="3" fontId="22" fillId="0" borderId="36" xfId="2" applyNumberFormat="1" applyFont="1" applyBorder="1" applyAlignment="1" applyProtection="1">
      <alignment horizontal="right" vertical="center" shrinkToFit="1"/>
      <protection locked="0"/>
    </xf>
    <xf numFmtId="3" fontId="22" fillId="0" borderId="71" xfId="2" applyNumberFormat="1" applyFont="1" applyBorder="1" applyAlignment="1" applyProtection="1">
      <alignment horizontal="right" vertical="center" shrinkToFit="1"/>
      <protection locked="0"/>
    </xf>
    <xf numFmtId="3" fontId="22" fillId="0" borderId="28" xfId="2" applyNumberFormat="1" applyFont="1" applyBorder="1" applyAlignment="1" applyProtection="1">
      <alignment horizontal="right" vertical="center" shrinkToFit="1"/>
      <protection locked="0"/>
    </xf>
    <xf numFmtId="3" fontId="22" fillId="0" borderId="121" xfId="2" applyNumberFormat="1" applyFont="1" applyBorder="1" applyAlignment="1" applyProtection="1">
      <alignment horizontal="right" vertical="center" shrinkToFit="1"/>
      <protection locked="0"/>
    </xf>
    <xf numFmtId="3" fontId="22" fillId="0" borderId="12" xfId="2" applyNumberFormat="1" applyFont="1" applyBorder="1" applyAlignment="1" applyProtection="1">
      <alignment horizontal="right" vertical="center" shrinkToFit="1"/>
      <protection locked="0"/>
    </xf>
    <xf numFmtId="3" fontId="22" fillId="5" borderId="91" xfId="2" applyNumberFormat="1" applyFont="1" applyFill="1" applyBorder="1" applyAlignment="1">
      <alignment horizontal="right" vertical="center" shrinkToFit="1"/>
    </xf>
    <xf numFmtId="3" fontId="22" fillId="5" borderId="99" xfId="2" applyNumberFormat="1" applyFont="1" applyFill="1" applyBorder="1" applyAlignment="1">
      <alignment horizontal="right" vertical="center" shrinkToFit="1"/>
    </xf>
    <xf numFmtId="3" fontId="22" fillId="0" borderId="131" xfId="2" applyNumberFormat="1" applyFont="1" applyBorder="1" applyAlignment="1" applyProtection="1">
      <alignment horizontal="right" vertical="center" shrinkToFit="1"/>
      <protection locked="0"/>
    </xf>
    <xf numFmtId="3" fontId="22" fillId="0" borderId="82" xfId="2" applyNumberFormat="1" applyFont="1" applyBorder="1" applyAlignment="1" applyProtection="1">
      <alignment horizontal="right" vertical="center" shrinkToFit="1"/>
      <protection locked="0"/>
    </xf>
    <xf numFmtId="3" fontId="22" fillId="0" borderId="125" xfId="2" applyNumberFormat="1" applyFont="1" applyBorder="1" applyAlignment="1" applyProtection="1">
      <alignment horizontal="right" vertical="center" shrinkToFit="1"/>
      <protection locked="0"/>
    </xf>
    <xf numFmtId="3" fontId="22" fillId="0" borderId="29" xfId="2" applyNumberFormat="1" applyFont="1" applyBorder="1" applyAlignment="1" applyProtection="1">
      <alignment horizontal="right" vertical="center" shrinkToFit="1"/>
      <protection locked="0"/>
    </xf>
    <xf numFmtId="0" fontId="22" fillId="9" borderId="65" xfId="2" applyFont="1" applyFill="1" applyBorder="1" applyAlignment="1" applyProtection="1">
      <alignment horizontal="center" vertical="center" shrinkToFit="1"/>
      <protection locked="0"/>
    </xf>
    <xf numFmtId="0" fontId="22" fillId="9" borderId="11" xfId="2" applyFont="1" applyFill="1" applyBorder="1" applyAlignment="1" applyProtection="1">
      <alignment horizontal="center" vertical="center" shrinkToFit="1"/>
      <protection locked="0"/>
    </xf>
    <xf numFmtId="0" fontId="22" fillId="9" borderId="74" xfId="2" applyFont="1" applyFill="1" applyBorder="1" applyAlignment="1" applyProtection="1">
      <alignment horizontal="center" vertical="center" shrinkToFit="1"/>
      <protection locked="0"/>
    </xf>
    <xf numFmtId="0" fontId="28" fillId="9" borderId="121" xfId="2" applyFont="1" applyFill="1" applyBorder="1" applyAlignment="1" applyProtection="1">
      <alignment horizontal="distributed" vertical="center"/>
      <protection locked="0"/>
    </xf>
    <xf numFmtId="0" fontId="27" fillId="9" borderId="12" xfId="0" applyFont="1" applyFill="1" applyBorder="1" applyAlignment="1" applyProtection="1">
      <alignment horizontal="left" vertical="center" shrinkToFit="1"/>
      <protection locked="0"/>
    </xf>
    <xf numFmtId="0" fontId="27" fillId="16" borderId="55" xfId="0" applyFont="1" applyFill="1" applyBorder="1" applyAlignment="1" applyProtection="1">
      <alignment horizontal="left" vertical="center" shrinkToFit="1"/>
      <protection locked="0"/>
    </xf>
    <xf numFmtId="0" fontId="27" fillId="16" borderId="58" xfId="0" applyFont="1" applyFill="1" applyBorder="1" applyAlignment="1" applyProtection="1">
      <alignment horizontal="left" vertical="center" shrinkToFit="1"/>
      <protection locked="0"/>
    </xf>
    <xf numFmtId="0" fontId="22" fillId="9" borderId="84" xfId="2" applyFont="1" applyFill="1" applyBorder="1" applyAlignment="1" applyProtection="1">
      <alignment horizontal="center" vertical="center" wrapText="1"/>
      <protection locked="0"/>
    </xf>
    <xf numFmtId="0" fontId="22" fillId="9" borderId="86" xfId="2" applyFont="1" applyFill="1" applyBorder="1" applyAlignment="1" applyProtection="1">
      <alignment horizontal="center" vertical="center"/>
      <protection locked="0"/>
    </xf>
    <xf numFmtId="0" fontId="22" fillId="9" borderId="89" xfId="2" applyFont="1" applyFill="1" applyBorder="1" applyAlignment="1" applyProtection="1">
      <alignment horizontal="center" vertical="center"/>
      <protection locked="0"/>
    </xf>
    <xf numFmtId="0" fontId="22" fillId="9" borderId="86" xfId="2" applyFont="1" applyFill="1" applyBorder="1" applyAlignment="1" applyProtection="1">
      <alignment horizontal="center" vertical="center" wrapText="1"/>
      <protection locked="0"/>
    </xf>
    <xf numFmtId="0" fontId="40" fillId="0" borderId="99" xfId="2" applyFont="1" applyBorder="1" applyAlignment="1" applyProtection="1">
      <alignment horizontal="right" vertical="center"/>
      <protection locked="0"/>
    </xf>
    <xf numFmtId="0" fontId="40" fillId="0" borderId="50" xfId="2" applyFont="1" applyBorder="1" applyAlignment="1" applyProtection="1">
      <alignment horizontal="right" vertical="center"/>
      <protection locked="0"/>
    </xf>
    <xf numFmtId="0" fontId="29" fillId="9" borderId="0" xfId="2" applyFont="1" applyFill="1" applyAlignment="1" applyProtection="1">
      <alignment vertical="top" wrapText="1"/>
      <protection locked="0"/>
    </xf>
    <xf numFmtId="0" fontId="29" fillId="9" borderId="0" xfId="0" applyFont="1" applyFill="1" applyAlignment="1" applyProtection="1">
      <alignment vertical="top"/>
      <protection locked="0"/>
    </xf>
    <xf numFmtId="0" fontId="31" fillId="9" borderId="52" xfId="2" applyFont="1" applyFill="1" applyBorder="1" applyAlignment="1" applyProtection="1">
      <alignment horizontal="center" vertical="center"/>
      <protection locked="0"/>
    </xf>
    <xf numFmtId="0" fontId="31" fillId="9" borderId="54" xfId="2" applyFont="1" applyFill="1" applyBorder="1" applyAlignment="1" applyProtection="1">
      <alignment horizontal="center" vertical="center"/>
      <protection locked="0"/>
    </xf>
    <xf numFmtId="0" fontId="31" fillId="9" borderId="46" xfId="2" applyFont="1" applyFill="1" applyBorder="1" applyAlignment="1" applyProtection="1">
      <alignment horizontal="center" vertical="center"/>
      <protection locked="0"/>
    </xf>
    <xf numFmtId="178" fontId="8" fillId="3" borderId="55" xfId="3" applyNumberFormat="1" applyFont="1" applyFill="1" applyBorder="1" applyAlignment="1" applyProtection="1">
      <alignment horizontal="right" vertical="center"/>
      <protection locked="0"/>
    </xf>
    <xf numFmtId="0" fontId="46" fillId="9" borderId="12" xfId="0" applyFont="1" applyFill="1" applyBorder="1" applyAlignment="1" applyProtection="1">
      <alignment horizontal="left" vertical="center" shrinkToFit="1"/>
      <protection locked="0"/>
    </xf>
    <xf numFmtId="0" fontId="46" fillId="9" borderId="55" xfId="0" applyFont="1" applyFill="1" applyBorder="1" applyAlignment="1" applyProtection="1">
      <alignment horizontal="left" vertical="center" shrinkToFit="1"/>
      <protection locked="0"/>
    </xf>
    <xf numFmtId="0" fontId="46" fillId="9" borderId="58" xfId="0" applyFont="1" applyFill="1" applyBorder="1" applyAlignment="1" applyProtection="1">
      <alignment horizontal="left" vertical="center" shrinkToFit="1"/>
      <protection locked="0"/>
    </xf>
    <xf numFmtId="178" fontId="23" fillId="3" borderId="12" xfId="3" applyNumberFormat="1" applyFont="1" applyFill="1" applyBorder="1" applyAlignment="1" applyProtection="1">
      <alignment horizontal="right" vertical="center"/>
      <protection locked="0"/>
    </xf>
    <xf numFmtId="178" fontId="23" fillId="3" borderId="55" xfId="3" applyNumberFormat="1" applyFont="1" applyFill="1" applyBorder="1" applyAlignment="1" applyProtection="1">
      <alignment horizontal="right" vertical="center"/>
      <protection locked="0"/>
    </xf>
    <xf numFmtId="178" fontId="23" fillId="3" borderId="30" xfId="3" applyNumberFormat="1" applyFont="1" applyFill="1" applyBorder="1" applyAlignment="1" applyProtection="1">
      <alignment horizontal="right" vertical="center"/>
      <protection locked="0"/>
    </xf>
    <xf numFmtId="178" fontId="23" fillId="3" borderId="0" xfId="3" applyNumberFormat="1" applyFont="1" applyFill="1" applyBorder="1" applyAlignment="1" applyProtection="1">
      <alignment horizontal="right" vertical="center"/>
      <protection locked="0"/>
    </xf>
    <xf numFmtId="0" fontId="27" fillId="15" borderId="54" xfId="0" applyFont="1" applyFill="1" applyBorder="1" applyAlignment="1" applyProtection="1">
      <alignment horizontal="left" vertical="center" shrinkToFit="1"/>
      <protection locked="0"/>
    </xf>
    <xf numFmtId="0" fontId="27" fillId="15" borderId="46" xfId="0" applyFont="1" applyFill="1" applyBorder="1" applyAlignment="1" applyProtection="1">
      <alignment horizontal="left" vertical="center" shrinkToFit="1"/>
      <protection locked="0"/>
    </xf>
    <xf numFmtId="178" fontId="23" fillId="3" borderId="28" xfId="3" applyNumberFormat="1" applyFont="1" applyFill="1" applyBorder="1" applyAlignment="1" applyProtection="1">
      <alignment horizontal="right" vertical="center"/>
      <protection locked="0"/>
    </xf>
    <xf numFmtId="178" fontId="23" fillId="3" borderId="20" xfId="3" applyNumberFormat="1" applyFont="1" applyFill="1" applyBorder="1" applyAlignment="1" applyProtection="1">
      <alignment horizontal="right" vertical="center"/>
      <protection locked="0"/>
    </xf>
    <xf numFmtId="0" fontId="27" fillId="9" borderId="10" xfId="0" applyFont="1" applyFill="1" applyBorder="1" applyAlignment="1" applyProtection="1">
      <alignment horizontal="center" vertical="center" textRotation="255"/>
      <protection locked="0"/>
    </xf>
    <xf numFmtId="0" fontId="27" fillId="16" borderId="74" xfId="0" applyFont="1" applyFill="1" applyBorder="1" applyAlignment="1" applyProtection="1">
      <alignment horizontal="center" vertical="center" textRotation="255"/>
      <protection locked="0"/>
    </xf>
    <xf numFmtId="0" fontId="27" fillId="16" borderId="6" xfId="0" applyFont="1" applyFill="1" applyBorder="1" applyAlignment="1" applyProtection="1">
      <alignment horizontal="center" vertical="center" textRotation="255"/>
      <protection locked="0"/>
    </xf>
    <xf numFmtId="0" fontId="27" fillId="16" borderId="49" xfId="0" applyFont="1" applyFill="1" applyBorder="1" applyAlignment="1" applyProtection="1">
      <alignment horizontal="center" vertical="center" textRotation="255"/>
      <protection locked="0"/>
    </xf>
    <xf numFmtId="0" fontId="21" fillId="14" borderId="65" xfId="0" applyFont="1" applyFill="1" applyBorder="1" applyAlignment="1" applyProtection="1">
      <alignment horizontal="center" vertical="center" textRotation="255"/>
      <protection locked="0"/>
    </xf>
    <xf numFmtId="0" fontId="21" fillId="14" borderId="11" xfId="0" applyFont="1" applyFill="1" applyBorder="1" applyAlignment="1" applyProtection="1">
      <alignment horizontal="center" vertical="center" textRotation="255"/>
      <protection locked="0"/>
    </xf>
    <xf numFmtId="0" fontId="21" fillId="14" borderId="30" xfId="0" applyFont="1" applyFill="1" applyBorder="1" applyAlignment="1" applyProtection="1">
      <alignment horizontal="center" vertical="center" textRotation="255"/>
      <protection locked="0"/>
    </xf>
    <xf numFmtId="0" fontId="21" fillId="14" borderId="0" xfId="0" applyFont="1" applyFill="1" applyAlignment="1" applyProtection="1">
      <alignment horizontal="center" vertical="center" textRotation="255"/>
      <protection locked="0"/>
    </xf>
    <xf numFmtId="0" fontId="21" fillId="14" borderId="67" xfId="0" applyFont="1" applyFill="1" applyBorder="1" applyAlignment="1" applyProtection="1">
      <alignment horizontal="center" vertical="center" textRotation="255"/>
      <protection locked="0"/>
    </xf>
    <xf numFmtId="0" fontId="21" fillId="14" borderId="17" xfId="0" applyFont="1" applyFill="1" applyBorder="1" applyAlignment="1" applyProtection="1">
      <alignment horizontal="center" vertical="center" textRotation="255"/>
      <protection locked="0"/>
    </xf>
    <xf numFmtId="0" fontId="27" fillId="9" borderId="82" xfId="0" applyFont="1" applyFill="1" applyBorder="1" applyAlignment="1" applyProtection="1">
      <alignment horizontal="left" vertical="center" shrinkToFit="1"/>
      <protection locked="0"/>
    </xf>
    <xf numFmtId="0" fontId="27" fillId="16" borderId="43" xfId="0" applyFont="1" applyFill="1" applyBorder="1" applyAlignment="1" applyProtection="1">
      <alignment horizontal="left" vertical="center" shrinkToFit="1"/>
      <protection locked="0"/>
    </xf>
    <xf numFmtId="0" fontId="27" fillId="16" borderId="94" xfId="0" applyFont="1" applyFill="1" applyBorder="1" applyAlignment="1" applyProtection="1">
      <alignment horizontal="left" vertical="center" shrinkToFit="1"/>
      <protection locked="0"/>
    </xf>
    <xf numFmtId="178" fontId="23" fillId="3" borderId="82" xfId="3" applyNumberFormat="1" applyFont="1" applyFill="1" applyBorder="1" applyAlignment="1" applyProtection="1">
      <alignment horizontal="right" vertical="center"/>
      <protection locked="0"/>
    </xf>
    <xf numFmtId="178" fontId="23" fillId="3" borderId="43" xfId="3" applyNumberFormat="1" applyFont="1" applyFill="1" applyBorder="1" applyAlignment="1" applyProtection="1">
      <alignment horizontal="right" vertical="center"/>
      <protection locked="0"/>
    </xf>
    <xf numFmtId="178" fontId="23" fillId="3" borderId="36" xfId="3" applyNumberFormat="1" applyFont="1" applyFill="1" applyBorder="1" applyAlignment="1" applyProtection="1">
      <alignment horizontal="right" vertical="center"/>
      <protection locked="0"/>
    </xf>
    <xf numFmtId="178" fontId="23" fillId="3" borderId="60" xfId="3" applyNumberFormat="1" applyFont="1" applyFill="1" applyBorder="1" applyAlignment="1" applyProtection="1">
      <alignment horizontal="right" vertical="center"/>
      <protection locked="0"/>
    </xf>
    <xf numFmtId="0" fontId="27" fillId="14" borderId="54" xfId="0" applyFont="1" applyFill="1" applyBorder="1" applyAlignment="1" applyProtection="1">
      <alignment horizontal="left" vertical="center" shrinkToFit="1"/>
      <protection locked="0"/>
    </xf>
    <xf numFmtId="0" fontId="27" fillId="14" borderId="46" xfId="0" applyFont="1" applyFill="1" applyBorder="1" applyAlignment="1" applyProtection="1">
      <alignment horizontal="left" vertical="center" shrinkToFit="1"/>
      <protection locked="0"/>
    </xf>
    <xf numFmtId="178" fontId="37" fillId="5" borderId="28" xfId="3" applyNumberFormat="1" applyFont="1" applyFill="1" applyBorder="1" applyAlignment="1" applyProtection="1">
      <alignment horizontal="right" vertical="center"/>
    </xf>
    <xf numFmtId="178" fontId="37" fillId="5" borderId="20" xfId="3" applyNumberFormat="1" applyFont="1" applyFill="1" applyBorder="1" applyAlignment="1" applyProtection="1">
      <alignment horizontal="right" vertical="center"/>
    </xf>
    <xf numFmtId="0" fontId="21" fillId="15" borderId="28" xfId="0" applyFont="1" applyFill="1" applyBorder="1" applyAlignment="1" applyProtection="1">
      <alignment horizontal="center" vertical="center" textRotation="255"/>
      <protection locked="0"/>
    </xf>
    <xf numFmtId="0" fontId="21" fillId="15" borderId="20" xfId="0" applyFont="1" applyFill="1" applyBorder="1" applyAlignment="1" applyProtection="1">
      <alignment horizontal="center" vertical="center" textRotation="255"/>
      <protection locked="0"/>
    </xf>
    <xf numFmtId="0" fontId="21" fillId="15" borderId="30" xfId="0" applyFont="1" applyFill="1" applyBorder="1" applyAlignment="1" applyProtection="1">
      <alignment horizontal="center" vertical="center" textRotation="255"/>
      <protection locked="0"/>
    </xf>
    <xf numFmtId="0" fontId="21" fillId="15" borderId="0" xfId="0" applyFont="1" applyFill="1" applyAlignment="1" applyProtection="1">
      <alignment horizontal="center" vertical="center" textRotation="255"/>
      <protection locked="0"/>
    </xf>
    <xf numFmtId="0" fontId="21" fillId="15" borderId="67" xfId="0" applyFont="1" applyFill="1" applyBorder="1" applyAlignment="1" applyProtection="1">
      <alignment horizontal="center" vertical="center" textRotation="255"/>
      <protection locked="0"/>
    </xf>
    <xf numFmtId="0" fontId="21" fillId="15" borderId="17" xfId="0" applyFont="1" applyFill="1" applyBorder="1" applyAlignment="1" applyProtection="1">
      <alignment horizontal="center" vertical="center" textRotation="255"/>
      <protection locked="0"/>
    </xf>
    <xf numFmtId="0" fontId="27" fillId="9" borderId="1" xfId="0" applyFont="1" applyFill="1" applyBorder="1" applyAlignment="1" applyProtection="1">
      <alignment horizontal="left" vertical="center" shrinkToFit="1"/>
      <protection locked="0"/>
    </xf>
    <xf numFmtId="0" fontId="27" fillId="16" borderId="2" xfId="0" applyFont="1" applyFill="1" applyBorder="1" applyAlignment="1" applyProtection="1">
      <alignment horizontal="left" vertical="center" shrinkToFit="1"/>
      <protection locked="0"/>
    </xf>
    <xf numFmtId="0" fontId="27" fillId="16" borderId="62" xfId="0" applyFont="1" applyFill="1" applyBorder="1" applyAlignment="1" applyProtection="1">
      <alignment horizontal="left" vertical="center" shrinkToFit="1"/>
      <protection locked="0"/>
    </xf>
    <xf numFmtId="178" fontId="23" fillId="3" borderId="1" xfId="3" applyNumberFormat="1" applyFont="1" applyFill="1" applyBorder="1" applyAlignment="1" applyProtection="1">
      <alignment horizontal="right" vertical="center"/>
      <protection locked="0"/>
    </xf>
    <xf numFmtId="178" fontId="23" fillId="3" borderId="2" xfId="3" applyNumberFormat="1" applyFont="1" applyFill="1" applyBorder="1" applyAlignment="1" applyProtection="1">
      <alignment horizontal="right" vertical="center"/>
      <protection locked="0"/>
    </xf>
    <xf numFmtId="0" fontId="38" fillId="7" borderId="0" xfId="2" applyFont="1" applyFill="1" applyAlignment="1" applyProtection="1">
      <alignment horizontal="center" vertical="center"/>
      <protection locked="0"/>
    </xf>
    <xf numFmtId="0" fontId="37" fillId="7" borderId="0" xfId="0" applyFont="1" applyFill="1" applyAlignment="1" applyProtection="1">
      <alignment horizontal="center" vertical="center" shrinkToFit="1"/>
      <protection locked="0"/>
    </xf>
    <xf numFmtId="0" fontId="62" fillId="9" borderId="0" xfId="2" applyFont="1" applyFill="1" applyAlignment="1" applyProtection="1">
      <alignment horizontal="right" wrapText="1"/>
      <protection locked="0"/>
    </xf>
    <xf numFmtId="0" fontId="45" fillId="9" borderId="0" xfId="2" applyFont="1" applyFill="1" applyAlignment="1" applyProtection="1">
      <alignment horizontal="right"/>
      <protection locked="0"/>
    </xf>
    <xf numFmtId="0" fontId="27" fillId="9" borderId="54" xfId="0" applyFont="1" applyFill="1" applyBorder="1" applyAlignment="1" applyProtection="1">
      <alignment horizontal="left" vertical="center"/>
      <protection locked="0"/>
    </xf>
    <xf numFmtId="0" fontId="27" fillId="16" borderId="54" xfId="0" applyFont="1" applyFill="1" applyBorder="1" applyAlignment="1" applyProtection="1">
      <alignment horizontal="left" vertical="center"/>
      <protection locked="0"/>
    </xf>
    <xf numFmtId="0" fontId="27" fillId="16" borderId="46" xfId="0" applyFont="1" applyFill="1" applyBorder="1" applyAlignment="1" applyProtection="1">
      <alignment horizontal="left" vertical="center"/>
      <protection locked="0"/>
    </xf>
    <xf numFmtId="178" fontId="37" fillId="5" borderId="52" xfId="3" applyNumberFormat="1" applyFont="1" applyFill="1" applyBorder="1" applyAlignment="1" applyProtection="1">
      <alignment horizontal="right" vertical="center"/>
    </xf>
    <xf numFmtId="178" fontId="37" fillId="5" borderId="54" xfId="3" applyNumberFormat="1" applyFont="1" applyFill="1" applyBorder="1" applyAlignment="1" applyProtection="1">
      <alignment horizontal="right" vertical="center"/>
    </xf>
    <xf numFmtId="0" fontId="27" fillId="9" borderId="19" xfId="0" applyFont="1" applyFill="1" applyBorder="1" applyAlignment="1" applyProtection="1">
      <alignment horizontal="center" vertical="center" textRotation="255" shrinkToFit="1"/>
      <protection locked="0"/>
    </xf>
    <xf numFmtId="0" fontId="27" fillId="16" borderId="20" xfId="0" applyFont="1" applyFill="1" applyBorder="1" applyAlignment="1" applyProtection="1">
      <alignment horizontal="center" vertical="center" textRotation="255" shrinkToFit="1"/>
      <protection locked="0"/>
    </xf>
    <xf numFmtId="0" fontId="27" fillId="16" borderId="6" xfId="0" applyFont="1" applyFill="1" applyBorder="1" applyAlignment="1" applyProtection="1">
      <alignment horizontal="center" vertical="center" textRotation="255" shrinkToFit="1"/>
      <protection locked="0"/>
    </xf>
    <xf numFmtId="0" fontId="27" fillId="16" borderId="0" xfId="0" applyFont="1" applyFill="1" applyAlignment="1" applyProtection="1">
      <alignment horizontal="center" vertical="center" textRotation="255" shrinkToFit="1"/>
      <protection locked="0"/>
    </xf>
    <xf numFmtId="0" fontId="27" fillId="16" borderId="16" xfId="0" applyFont="1" applyFill="1" applyBorder="1" applyAlignment="1" applyProtection="1">
      <alignment horizontal="center" vertical="center" textRotation="255" shrinkToFit="1"/>
      <protection locked="0"/>
    </xf>
    <xf numFmtId="0" fontId="27" fillId="16" borderId="17" xfId="0" applyFont="1" applyFill="1" applyBorder="1" applyAlignment="1" applyProtection="1">
      <alignment horizontal="center" vertical="center" textRotation="255" shrinkToFit="1"/>
      <protection locked="0"/>
    </xf>
    <xf numFmtId="0" fontId="46" fillId="14" borderId="54" xfId="0" applyFont="1" applyFill="1" applyBorder="1" applyAlignment="1" applyProtection="1">
      <alignment horizontal="left" vertical="center" shrinkToFit="1"/>
      <protection locked="0"/>
    </xf>
    <xf numFmtId="0" fontId="46" fillId="14" borderId="46" xfId="0" applyFont="1" applyFill="1" applyBorder="1" applyAlignment="1" applyProtection="1">
      <alignment horizontal="left" vertical="center" shrinkToFit="1"/>
      <protection locked="0"/>
    </xf>
    <xf numFmtId="178" fontId="23" fillId="3" borderId="52" xfId="3" applyNumberFormat="1" applyFont="1" applyFill="1" applyBorder="1" applyAlignment="1" applyProtection="1">
      <alignment horizontal="right" vertical="center"/>
      <protection locked="0"/>
    </xf>
    <xf numFmtId="178" fontId="23" fillId="3" borderId="54" xfId="3" applyNumberFormat="1" applyFont="1" applyFill="1" applyBorder="1" applyAlignment="1" applyProtection="1">
      <alignment horizontal="right" vertical="center"/>
      <protection locked="0"/>
    </xf>
    <xf numFmtId="0" fontId="46" fillId="9" borderId="52" xfId="0" applyFont="1" applyFill="1" applyBorder="1" applyAlignment="1" applyProtection="1">
      <alignment horizontal="left" vertical="center" shrinkToFit="1"/>
      <protection locked="0"/>
    </xf>
    <xf numFmtId="0" fontId="46" fillId="16" borderId="54" xfId="0" applyFont="1" applyFill="1" applyBorder="1" applyAlignment="1" applyProtection="1">
      <alignment horizontal="left" vertical="center" shrinkToFit="1"/>
      <protection locked="0"/>
    </xf>
    <xf numFmtId="0" fontId="46" fillId="16" borderId="46" xfId="0" applyFont="1" applyFill="1" applyBorder="1" applyAlignment="1" applyProtection="1">
      <alignment horizontal="left" vertical="center" shrinkToFit="1"/>
      <protection locked="0"/>
    </xf>
    <xf numFmtId="0" fontId="36" fillId="9" borderId="6" xfId="0" applyFont="1" applyFill="1" applyBorder="1" applyAlignment="1" applyProtection="1">
      <alignment horizontal="center" vertical="center" textRotation="255" wrapText="1"/>
      <protection locked="0"/>
    </xf>
    <xf numFmtId="0" fontId="36" fillId="16" borderId="0" xfId="0" applyFont="1" applyFill="1" applyAlignment="1" applyProtection="1">
      <alignment horizontal="center" vertical="center" textRotation="255"/>
      <protection locked="0"/>
    </xf>
    <xf numFmtId="0" fontId="36" fillId="16" borderId="6" xfId="0" applyFont="1" applyFill="1" applyBorder="1" applyAlignment="1" applyProtection="1">
      <alignment horizontal="center" vertical="center" textRotation="255"/>
      <protection locked="0"/>
    </xf>
    <xf numFmtId="0" fontId="36" fillId="16" borderId="16" xfId="0" applyFont="1" applyFill="1" applyBorder="1" applyAlignment="1" applyProtection="1">
      <alignment horizontal="center" vertical="center" textRotation="255"/>
      <protection locked="0"/>
    </xf>
    <xf numFmtId="0" fontId="36" fillId="16" borderId="17" xfId="0" applyFont="1" applyFill="1" applyBorder="1" applyAlignment="1" applyProtection="1">
      <alignment horizontal="center" vertical="center" textRotation="255"/>
      <protection locked="0"/>
    </xf>
    <xf numFmtId="0" fontId="43" fillId="9" borderId="6" xfId="2" applyFont="1" applyFill="1" applyBorder="1" applyAlignment="1" applyProtection="1">
      <alignment horizontal="left" wrapText="1"/>
      <protection locked="0"/>
    </xf>
    <xf numFmtId="0" fontId="43" fillId="16" borderId="0" xfId="2" applyFont="1" applyFill="1" applyAlignment="1" applyProtection="1">
      <alignment horizontal="left" wrapText="1"/>
      <protection locked="0"/>
    </xf>
    <xf numFmtId="0" fontId="43" fillId="16" borderId="6" xfId="2" applyFont="1" applyFill="1" applyBorder="1" applyAlignment="1" applyProtection="1">
      <alignment horizontal="left" wrapText="1"/>
      <protection locked="0"/>
    </xf>
    <xf numFmtId="0" fontId="46" fillId="15" borderId="54" xfId="0" applyFont="1" applyFill="1" applyBorder="1" applyAlignment="1" applyProtection="1">
      <alignment horizontal="left" vertical="center" shrinkToFit="1"/>
      <protection locked="0"/>
    </xf>
    <xf numFmtId="0" fontId="46" fillId="15" borderId="46" xfId="0" applyFont="1" applyFill="1" applyBorder="1" applyAlignment="1" applyProtection="1">
      <alignment horizontal="left" vertical="center" shrinkToFit="1"/>
      <protection locked="0"/>
    </xf>
    <xf numFmtId="0" fontId="27" fillId="9" borderId="31" xfId="0" applyFont="1" applyFill="1" applyBorder="1" applyAlignment="1" applyProtection="1">
      <alignment horizontal="left" vertical="center" shrinkToFit="1"/>
      <protection locked="0"/>
    </xf>
    <xf numFmtId="0" fontId="27" fillId="16" borderId="54" xfId="0" applyFont="1" applyFill="1" applyBorder="1" applyAlignment="1" applyProtection="1">
      <alignment horizontal="left" vertical="center" shrinkToFit="1"/>
      <protection locked="0"/>
    </xf>
    <xf numFmtId="0" fontId="27" fillId="16" borderId="46" xfId="0" applyFont="1" applyFill="1" applyBorder="1" applyAlignment="1" applyProtection="1">
      <alignment horizontal="left" vertical="center" shrinkToFit="1"/>
      <protection locked="0"/>
    </xf>
    <xf numFmtId="0" fontId="27" fillId="9" borderId="13" xfId="0" applyFont="1" applyFill="1" applyBorder="1" applyAlignment="1" applyProtection="1">
      <alignment horizontal="left" vertical="center" shrinkToFit="1"/>
      <protection locked="0"/>
    </xf>
    <xf numFmtId="0" fontId="27" fillId="16" borderId="26" xfId="0" applyFont="1" applyFill="1" applyBorder="1" applyAlignment="1" applyProtection="1">
      <alignment horizontal="left" vertical="center" shrinkToFit="1"/>
      <protection locked="0"/>
    </xf>
    <xf numFmtId="0" fontId="27" fillId="16" borderId="88" xfId="0" applyFont="1" applyFill="1" applyBorder="1" applyAlignment="1" applyProtection="1">
      <alignment horizontal="left" vertical="center" shrinkToFit="1"/>
      <protection locked="0"/>
    </xf>
    <xf numFmtId="0" fontId="31" fillId="7" borderId="17" xfId="2" applyFont="1" applyFill="1" applyBorder="1" applyAlignment="1" applyProtection="1">
      <alignment horizontal="left" vertical="center" shrinkToFit="1"/>
      <protection locked="0"/>
    </xf>
    <xf numFmtId="0" fontId="13" fillId="23" borderId="28" xfId="0" applyFont="1" applyFill="1" applyBorder="1" applyAlignment="1" applyProtection="1">
      <alignment horizontal="center" vertical="center" wrapText="1"/>
      <protection locked="0"/>
    </xf>
    <xf numFmtId="0" fontId="13" fillId="23" borderId="20" xfId="0" applyFont="1" applyFill="1" applyBorder="1" applyAlignment="1" applyProtection="1">
      <alignment horizontal="center" vertical="center" wrapText="1"/>
      <protection locked="0"/>
    </xf>
    <xf numFmtId="0" fontId="13" fillId="23" borderId="30" xfId="0" applyFont="1" applyFill="1" applyBorder="1" applyAlignment="1" applyProtection="1">
      <alignment horizontal="center" vertical="center" wrapText="1"/>
      <protection locked="0"/>
    </xf>
    <xf numFmtId="0" fontId="13" fillId="23" borderId="0" xfId="0" applyFont="1" applyFill="1" applyAlignment="1" applyProtection="1">
      <alignment horizontal="center" vertical="center" wrapText="1"/>
      <protection locked="0"/>
    </xf>
    <xf numFmtId="0" fontId="10" fillId="0" borderId="133" xfId="2" applyFont="1" applyBorder="1" applyAlignment="1" applyProtection="1">
      <alignment horizontal="center" vertical="center" wrapText="1" shrinkToFit="1"/>
      <protection locked="0"/>
    </xf>
    <xf numFmtId="0" fontId="10" fillId="0" borderId="20" xfId="2" applyFont="1" applyBorder="1" applyAlignment="1" applyProtection="1">
      <alignment horizontal="center" vertical="center" wrapText="1" shrinkToFit="1"/>
      <protection locked="0"/>
    </xf>
    <xf numFmtId="0" fontId="10" fillId="0" borderId="134" xfId="2" applyFont="1" applyBorder="1" applyAlignment="1" applyProtection="1">
      <alignment horizontal="center" vertical="center" wrapText="1" shrinkToFit="1"/>
      <protection locked="0"/>
    </xf>
    <xf numFmtId="0" fontId="10" fillId="0" borderId="0" xfId="2" applyFont="1" applyAlignment="1" applyProtection="1">
      <alignment horizontal="center" vertical="center" wrapText="1" shrinkToFit="1"/>
      <protection locked="0"/>
    </xf>
    <xf numFmtId="0" fontId="4" fillId="24" borderId="52" xfId="2" applyFont="1" applyFill="1" applyBorder="1" applyAlignment="1" applyProtection="1">
      <alignment horizontal="center" vertical="center" shrinkToFit="1"/>
      <protection locked="0"/>
    </xf>
    <xf numFmtId="0" fontId="4" fillId="24" borderId="54" xfId="2" applyFont="1" applyFill="1" applyBorder="1" applyAlignment="1" applyProtection="1">
      <alignment horizontal="center" vertical="center" shrinkToFit="1"/>
      <protection locked="0"/>
    </xf>
    <xf numFmtId="0" fontId="4" fillId="24" borderId="20" xfId="2" applyFont="1" applyFill="1" applyBorder="1" applyAlignment="1" applyProtection="1">
      <alignment horizontal="center" vertical="center" shrinkToFit="1"/>
      <protection locked="0"/>
    </xf>
    <xf numFmtId="0" fontId="10" fillId="0" borderId="28" xfId="2" applyFont="1" applyBorder="1" applyAlignment="1" applyProtection="1">
      <alignment horizontal="center" vertical="center" wrapText="1" shrinkToFit="1"/>
      <protection locked="0"/>
    </xf>
    <xf numFmtId="0" fontId="10" fillId="0" borderId="21" xfId="2" applyFont="1" applyBorder="1" applyAlignment="1" applyProtection="1">
      <alignment horizontal="center" vertical="center" wrapText="1" shrinkToFit="1"/>
      <protection locked="0"/>
    </xf>
    <xf numFmtId="0" fontId="10" fillId="0" borderId="30" xfId="2" applyFont="1" applyBorder="1" applyAlignment="1" applyProtection="1">
      <alignment horizontal="center" vertical="center" wrapText="1" shrinkToFit="1"/>
      <protection locked="0"/>
    </xf>
    <xf numFmtId="0" fontId="10" fillId="0" borderId="49" xfId="2" applyFont="1" applyBorder="1" applyAlignment="1" applyProtection="1">
      <alignment horizontal="center" vertical="center" wrapText="1" shrinkToFit="1"/>
      <protection locked="0"/>
    </xf>
    <xf numFmtId="0" fontId="10" fillId="6" borderId="30" xfId="2" applyFont="1" applyFill="1" applyBorder="1" applyAlignment="1" applyProtection="1">
      <alignment horizontal="center" vertical="center" wrapText="1"/>
      <protection locked="0"/>
    </xf>
    <xf numFmtId="0" fontId="10" fillId="6" borderId="0" xfId="2" applyFont="1" applyFill="1" applyAlignment="1" applyProtection="1">
      <alignment horizontal="center" vertical="center" wrapText="1"/>
      <protection locked="0"/>
    </xf>
    <xf numFmtId="0" fontId="10" fillId="6" borderId="49" xfId="2" applyFont="1" applyFill="1" applyBorder="1" applyAlignment="1" applyProtection="1">
      <alignment horizontal="center" vertical="center" wrapText="1"/>
      <protection locked="0"/>
    </xf>
    <xf numFmtId="0" fontId="10" fillId="24" borderId="67" xfId="2" applyFont="1" applyFill="1" applyBorder="1" applyAlignment="1" applyProtection="1">
      <alignment horizontal="center" vertical="center" wrapText="1"/>
      <protection locked="0"/>
    </xf>
    <xf numFmtId="0" fontId="10" fillId="24" borderId="17" xfId="2" applyFont="1" applyFill="1" applyBorder="1" applyAlignment="1" applyProtection="1">
      <alignment horizontal="center" vertical="center" wrapText="1"/>
      <protection locked="0"/>
    </xf>
    <xf numFmtId="0" fontId="10" fillId="24" borderId="0" xfId="2" applyFont="1" applyFill="1" applyAlignment="1" applyProtection="1">
      <alignment horizontal="center" vertical="center" wrapText="1"/>
      <protection locked="0"/>
    </xf>
    <xf numFmtId="0" fontId="34" fillId="7" borderId="0" xfId="1" applyFont="1" applyFill="1" applyAlignment="1" applyProtection="1">
      <alignment horizontal="right" vertical="center"/>
      <protection locked="0"/>
    </xf>
    <xf numFmtId="0" fontId="28" fillId="12" borderId="131" xfId="2" applyFont="1" applyFill="1" applyBorder="1" applyAlignment="1" applyProtection="1">
      <alignment horizontal="center" vertical="center"/>
      <protection locked="0"/>
    </xf>
    <xf numFmtId="0" fontId="28" fillId="2" borderId="131" xfId="2" applyFont="1" applyFill="1" applyBorder="1" applyAlignment="1" applyProtection="1">
      <alignment horizontal="center" vertical="center"/>
      <protection locked="0"/>
    </xf>
    <xf numFmtId="0" fontId="28" fillId="2" borderId="125" xfId="2" applyFont="1" applyFill="1" applyBorder="1" applyAlignment="1" applyProtection="1">
      <alignment horizontal="center" vertical="center"/>
      <protection locked="0"/>
    </xf>
    <xf numFmtId="0" fontId="28" fillId="2" borderId="90" xfId="2" applyFont="1" applyFill="1" applyBorder="1" applyAlignment="1" applyProtection="1">
      <alignment horizontal="center" vertical="center"/>
      <protection locked="0"/>
    </xf>
    <xf numFmtId="0" fontId="28" fillId="2" borderId="91" xfId="2" applyFont="1" applyFill="1" applyBorder="1" applyAlignment="1" applyProtection="1">
      <alignment horizontal="center" vertical="center"/>
      <protection locked="0"/>
    </xf>
    <xf numFmtId="0" fontId="22" fillId="2" borderId="81" xfId="2" applyFont="1" applyFill="1" applyBorder="1" applyAlignment="1" applyProtection="1">
      <alignment horizontal="center" vertical="center" textRotation="255" shrinkToFit="1"/>
      <protection locked="0"/>
    </xf>
    <xf numFmtId="0" fontId="22" fillId="2" borderId="128" xfId="2" applyFont="1" applyFill="1" applyBorder="1" applyAlignment="1" applyProtection="1">
      <alignment horizontal="center" vertical="center" textRotation="255" shrinkToFit="1"/>
      <protection locked="0"/>
    </xf>
    <xf numFmtId="0" fontId="22" fillId="2" borderId="83" xfId="2" applyFont="1" applyFill="1" applyBorder="1" applyAlignment="1" applyProtection="1">
      <alignment horizontal="center" vertical="center" textRotation="255" shrinkToFit="1"/>
      <protection locked="0"/>
    </xf>
    <xf numFmtId="0" fontId="22" fillId="2" borderId="84" xfId="2" applyFont="1" applyFill="1" applyBorder="1" applyAlignment="1" applyProtection="1">
      <alignment horizontal="center" vertical="center" textRotation="255" shrinkToFit="1"/>
      <protection locked="0"/>
    </xf>
    <xf numFmtId="0" fontId="28" fillId="9" borderId="125" xfId="2" applyFont="1" applyFill="1" applyBorder="1" applyAlignment="1" applyProtection="1">
      <alignment horizontal="distributed" vertical="center"/>
      <protection locked="0"/>
    </xf>
    <xf numFmtId="0" fontId="22" fillId="16" borderId="98" xfId="2" applyFont="1" applyFill="1" applyBorder="1" applyAlignment="1" applyProtection="1">
      <alignment horizontal="center" vertical="center" textRotation="255" shrinkToFit="1"/>
      <protection locked="0"/>
    </xf>
    <xf numFmtId="0" fontId="22" fillId="16" borderId="63" xfId="2" applyFont="1" applyFill="1" applyBorder="1" applyAlignment="1" applyProtection="1">
      <alignment horizontal="center" vertical="center" textRotation="255" shrinkToFit="1"/>
      <protection locked="0"/>
    </xf>
    <xf numFmtId="0" fontId="22" fillId="16" borderId="69" xfId="2" applyFont="1" applyFill="1" applyBorder="1" applyAlignment="1" applyProtection="1">
      <alignment horizontal="center" vertical="center" textRotation="255" shrinkToFit="1"/>
      <protection locked="0"/>
    </xf>
    <xf numFmtId="0" fontId="22" fillId="16" borderId="47" xfId="2" applyFont="1" applyFill="1" applyBorder="1" applyAlignment="1" applyProtection="1">
      <alignment horizontal="center" vertical="center" textRotation="255" shrinkToFit="1"/>
      <protection locked="0"/>
    </xf>
    <xf numFmtId="0" fontId="22" fillId="16" borderId="83" xfId="2" applyFont="1" applyFill="1" applyBorder="1" applyAlignment="1" applyProtection="1">
      <alignment horizontal="center" vertical="center" textRotation="255" shrinkToFit="1"/>
      <protection locked="0"/>
    </xf>
    <xf numFmtId="0" fontId="22" fillId="16" borderId="84" xfId="2" applyFont="1" applyFill="1" applyBorder="1" applyAlignment="1" applyProtection="1">
      <alignment horizontal="center" vertical="center" textRotation="255" shrinkToFit="1"/>
      <protection locked="0"/>
    </xf>
    <xf numFmtId="0" fontId="28" fillId="9" borderId="19" xfId="2" applyFont="1" applyFill="1" applyBorder="1" applyAlignment="1" applyProtection="1">
      <alignment horizontal="distributed" vertical="center" wrapText="1"/>
      <protection locked="0"/>
    </xf>
    <xf numFmtId="0" fontId="33" fillId="9" borderId="20" xfId="2" applyFont="1" applyFill="1" applyBorder="1" applyProtection="1">
      <alignment vertical="center"/>
      <protection locked="0"/>
    </xf>
    <xf numFmtId="0" fontId="33" fillId="9" borderId="21" xfId="2" applyFont="1" applyFill="1" applyBorder="1" applyProtection="1">
      <alignment vertical="center"/>
      <protection locked="0"/>
    </xf>
    <xf numFmtId="0" fontId="33" fillId="9" borderId="16" xfId="2" applyFont="1" applyFill="1" applyBorder="1" applyProtection="1">
      <alignment vertical="center"/>
      <protection locked="0"/>
    </xf>
    <xf numFmtId="0" fontId="33" fillId="9" borderId="17" xfId="2" applyFont="1" applyFill="1" applyBorder="1" applyProtection="1">
      <alignment vertical="center"/>
      <protection locked="0"/>
    </xf>
    <xf numFmtId="0" fontId="33" fillId="9" borderId="18" xfId="2" applyFont="1" applyFill="1" applyBorder="1" applyProtection="1">
      <alignment vertical="center"/>
      <protection locked="0"/>
    </xf>
    <xf numFmtId="0" fontId="28" fillId="9" borderId="71" xfId="2" applyFont="1" applyFill="1" applyBorder="1" applyAlignment="1" applyProtection="1">
      <alignment horizontal="distributed" vertical="center"/>
      <protection locked="0"/>
    </xf>
    <xf numFmtId="0" fontId="28" fillId="9" borderId="90" xfId="2" applyFont="1" applyFill="1" applyBorder="1" applyAlignment="1" applyProtection="1">
      <alignment horizontal="center" vertical="center" shrinkToFit="1"/>
      <protection locked="0"/>
    </xf>
    <xf numFmtId="0" fontId="28" fillId="9" borderId="91" xfId="2" applyFont="1" applyFill="1" applyBorder="1" applyAlignment="1" applyProtection="1">
      <alignment horizontal="center" vertical="center" shrinkToFit="1"/>
      <protection locked="0"/>
    </xf>
    <xf numFmtId="0" fontId="34" fillId="9" borderId="11" xfId="2" applyFont="1" applyFill="1" applyBorder="1" applyAlignment="1" applyProtection="1">
      <alignment horizontal="center" vertical="center"/>
      <protection locked="0"/>
    </xf>
    <xf numFmtId="0" fontId="34" fillId="9" borderId="74" xfId="2" applyFont="1" applyFill="1" applyBorder="1" applyAlignment="1" applyProtection="1">
      <alignment horizontal="center" vertical="center"/>
      <protection locked="0"/>
    </xf>
    <xf numFmtId="0" fontId="22" fillId="9" borderId="69" xfId="2" applyFont="1" applyFill="1" applyBorder="1" applyAlignment="1" applyProtection="1">
      <alignment horizontal="center" vertical="center" textRotation="255" shrinkToFit="1"/>
      <protection locked="0"/>
    </xf>
    <xf numFmtId="0" fontId="22" fillId="9" borderId="47" xfId="2" applyFont="1" applyFill="1" applyBorder="1" applyAlignment="1" applyProtection="1">
      <alignment horizontal="center" vertical="center" textRotation="255" shrinkToFit="1"/>
      <protection locked="0"/>
    </xf>
    <xf numFmtId="0" fontId="22" fillId="9" borderId="28" xfId="2" applyFont="1" applyFill="1" applyBorder="1" applyAlignment="1" applyProtection="1">
      <alignment horizontal="center" vertical="center" textRotation="255" shrinkToFit="1"/>
      <protection locked="0"/>
    </xf>
    <xf numFmtId="0" fontId="40" fillId="0" borderId="79" xfId="2" applyFont="1" applyBorder="1" applyAlignment="1" applyProtection="1">
      <alignment horizontal="right" vertical="center"/>
      <protection locked="0"/>
    </xf>
    <xf numFmtId="0" fontId="22" fillId="9" borderId="147" xfId="2" applyFont="1" applyFill="1" applyBorder="1" applyAlignment="1" applyProtection="1">
      <alignment horizontal="center" vertical="center" wrapText="1" shrinkToFit="1"/>
      <protection locked="0"/>
    </xf>
    <xf numFmtId="0" fontId="22" fillId="9" borderId="55" xfId="2" applyFont="1" applyFill="1" applyBorder="1" applyAlignment="1" applyProtection="1">
      <alignment horizontal="center" vertical="center" wrapText="1" shrinkToFit="1"/>
      <protection locked="0"/>
    </xf>
    <xf numFmtId="0" fontId="22" fillId="9" borderId="58" xfId="2" applyFont="1" applyFill="1" applyBorder="1" applyAlignment="1" applyProtection="1">
      <alignment horizontal="center" vertical="center" wrapText="1" shrinkToFit="1"/>
      <protection locked="0"/>
    </xf>
    <xf numFmtId="38" fontId="40" fillId="0" borderId="12" xfId="3" applyFont="1" applyFill="1" applyBorder="1" applyAlignment="1" applyProtection="1">
      <alignment horizontal="right" vertical="center" shrinkToFit="1"/>
      <protection locked="0"/>
    </xf>
    <xf numFmtId="38" fontId="40" fillId="0" borderId="55" xfId="3" applyFont="1" applyFill="1" applyBorder="1" applyAlignment="1" applyProtection="1">
      <alignment horizontal="right" vertical="center" shrinkToFit="1"/>
      <protection locked="0"/>
    </xf>
    <xf numFmtId="0" fontId="22" fillId="9" borderId="58" xfId="2" applyFont="1" applyFill="1" applyBorder="1" applyAlignment="1" applyProtection="1">
      <alignment horizontal="center" vertical="center" shrinkToFit="1"/>
      <protection locked="0"/>
    </xf>
    <xf numFmtId="0" fontId="28" fillId="16" borderId="127" xfId="2" applyFont="1" applyFill="1" applyBorder="1" applyAlignment="1" applyProtection="1">
      <alignment horizontal="center" vertical="center"/>
      <protection locked="0"/>
    </xf>
    <xf numFmtId="0" fontId="28" fillId="16" borderId="90" xfId="2" applyFont="1" applyFill="1" applyBorder="1" applyAlignment="1" applyProtection="1">
      <alignment horizontal="center" vertical="center"/>
      <protection locked="0"/>
    </xf>
    <xf numFmtId="0" fontId="28" fillId="16" borderId="91" xfId="2" applyFont="1" applyFill="1" applyBorder="1" applyAlignment="1" applyProtection="1">
      <alignment horizontal="center" vertical="center"/>
      <protection locked="0"/>
    </xf>
    <xf numFmtId="0" fontId="28" fillId="16" borderId="125" xfId="2" applyFont="1" applyFill="1" applyBorder="1" applyAlignment="1" applyProtection="1">
      <alignment horizontal="center" vertical="center"/>
      <protection locked="0"/>
    </xf>
    <xf numFmtId="3" fontId="22" fillId="5" borderId="90" xfId="2" applyNumberFormat="1" applyFont="1" applyFill="1" applyBorder="1" applyAlignment="1">
      <alignment horizontal="center" vertical="center"/>
    </xf>
    <xf numFmtId="3" fontId="22" fillId="5" borderId="92" xfId="2" applyNumberFormat="1" applyFont="1" applyFill="1" applyBorder="1" applyAlignment="1">
      <alignment horizontal="center" vertical="center"/>
    </xf>
    <xf numFmtId="0" fontId="22" fillId="9" borderId="20" xfId="2" applyFont="1" applyFill="1" applyBorder="1" applyAlignment="1" applyProtection="1">
      <alignment horizontal="center" vertical="center"/>
      <protection locked="0"/>
    </xf>
    <xf numFmtId="0" fontId="22" fillId="9" borderId="34" xfId="2" applyFont="1" applyFill="1" applyBorder="1" applyAlignment="1" applyProtection="1">
      <alignment horizontal="center" vertical="center"/>
      <protection locked="0"/>
    </xf>
    <xf numFmtId="0" fontId="22" fillId="9" borderId="9" xfId="2" applyFont="1" applyFill="1" applyBorder="1" applyAlignment="1" applyProtection="1">
      <alignment horizontal="center" vertical="center"/>
      <protection locked="0"/>
    </xf>
    <xf numFmtId="0" fontId="22" fillId="5" borderId="19" xfId="2" applyFont="1" applyFill="1" applyBorder="1" applyAlignment="1" applyProtection="1">
      <alignment horizontal="center" vertical="center"/>
      <protection locked="0"/>
    </xf>
    <xf numFmtId="0" fontId="22" fillId="5" borderId="20" xfId="2" applyFont="1" applyFill="1" applyBorder="1" applyAlignment="1" applyProtection="1">
      <alignment horizontal="center" vertical="center"/>
      <protection locked="0"/>
    </xf>
    <xf numFmtId="0" fontId="22" fillId="5" borderId="21" xfId="2" applyFont="1" applyFill="1" applyBorder="1" applyAlignment="1" applyProtection="1">
      <alignment horizontal="center" vertical="center"/>
      <protection locked="0"/>
    </xf>
    <xf numFmtId="0" fontId="22" fillId="5" borderId="16" xfId="2" applyFont="1" applyFill="1" applyBorder="1" applyAlignment="1" applyProtection="1">
      <alignment horizontal="center" vertical="center"/>
      <protection locked="0"/>
    </xf>
    <xf numFmtId="0" fontId="22" fillId="5" borderId="17" xfId="2" applyFont="1" applyFill="1" applyBorder="1" applyAlignment="1" applyProtection="1">
      <alignment horizontal="center" vertical="center"/>
      <protection locked="0"/>
    </xf>
    <xf numFmtId="0" fontId="22" fillId="5" borderId="18" xfId="2" applyFont="1" applyFill="1" applyBorder="1" applyAlignment="1" applyProtection="1">
      <alignment horizontal="center" vertical="center"/>
      <protection locked="0"/>
    </xf>
    <xf numFmtId="3" fontId="22" fillId="5" borderId="47" xfId="2" applyNumberFormat="1" applyFont="1" applyFill="1" applyBorder="1" applyAlignment="1">
      <alignment horizontal="center" vertical="center"/>
    </xf>
    <xf numFmtId="3" fontId="22" fillId="5" borderId="71" xfId="2" applyNumberFormat="1" applyFont="1" applyFill="1" applyBorder="1" applyAlignment="1" applyProtection="1">
      <alignment horizontal="center" vertical="center" wrapText="1"/>
      <protection locked="0"/>
    </xf>
    <xf numFmtId="3" fontId="22" fillId="5" borderId="71" xfId="2" applyNumberFormat="1" applyFont="1" applyFill="1" applyBorder="1" applyAlignment="1" applyProtection="1">
      <alignment horizontal="center" vertical="center"/>
      <protection locked="0"/>
    </xf>
    <xf numFmtId="3" fontId="22" fillId="5" borderId="71" xfId="2" applyNumberFormat="1" applyFont="1" applyFill="1" applyBorder="1" applyAlignment="1">
      <alignment horizontal="center" vertical="center"/>
    </xf>
    <xf numFmtId="3" fontId="22" fillId="5" borderId="28" xfId="2" applyNumberFormat="1" applyFont="1" applyFill="1" applyBorder="1" applyAlignment="1">
      <alignment horizontal="center" vertical="center"/>
    </xf>
    <xf numFmtId="3" fontId="22" fillId="5" borderId="24" xfId="2" applyNumberFormat="1" applyFont="1" applyFill="1" applyBorder="1" applyAlignment="1">
      <alignment horizontal="center" vertical="center"/>
    </xf>
    <xf numFmtId="3" fontId="22" fillId="5" borderId="118" xfId="2" applyNumberFormat="1" applyFont="1" applyFill="1" applyBorder="1" applyAlignment="1">
      <alignment horizontal="center" vertical="center"/>
    </xf>
    <xf numFmtId="0" fontId="22" fillId="9" borderId="28" xfId="2" applyFont="1" applyFill="1" applyBorder="1" applyAlignment="1" applyProtection="1">
      <alignment horizontal="center" vertical="center" shrinkToFit="1"/>
      <protection locked="0"/>
    </xf>
    <xf numFmtId="0" fontId="22" fillId="9" borderId="20" xfId="2" applyFont="1" applyFill="1" applyBorder="1" applyAlignment="1" applyProtection="1">
      <alignment horizontal="center" vertical="center" shrinkToFit="1"/>
      <protection locked="0"/>
    </xf>
    <xf numFmtId="0" fontId="22" fillId="9" borderId="30" xfId="2" applyFont="1" applyFill="1" applyBorder="1" applyAlignment="1" applyProtection="1">
      <alignment horizontal="center" vertical="center" shrinkToFit="1"/>
      <protection locked="0"/>
    </xf>
    <xf numFmtId="0" fontId="22" fillId="9" borderId="0" xfId="2" applyFont="1" applyFill="1" applyAlignment="1" applyProtection="1">
      <alignment horizontal="center" vertical="center" shrinkToFit="1"/>
      <protection locked="0"/>
    </xf>
    <xf numFmtId="0" fontId="22" fillId="9" borderId="67" xfId="2" applyFont="1" applyFill="1" applyBorder="1" applyAlignment="1" applyProtection="1">
      <alignment horizontal="center" vertical="center" shrinkToFit="1"/>
      <protection locked="0"/>
    </xf>
    <xf numFmtId="0" fontId="22" fillId="9" borderId="17" xfId="2" applyFont="1" applyFill="1" applyBorder="1" applyAlignment="1" applyProtection="1">
      <alignment horizontal="center" vertical="center" shrinkToFit="1"/>
      <protection locked="0"/>
    </xf>
    <xf numFmtId="0" fontId="29" fillId="9" borderId="0" xfId="2" applyFont="1" applyFill="1" applyAlignment="1" applyProtection="1">
      <alignment horizontal="right" vertical="top" shrinkToFit="1"/>
      <protection locked="0"/>
    </xf>
    <xf numFmtId="0" fontId="22" fillId="9" borderId="35" xfId="2" applyFont="1" applyFill="1" applyBorder="1" applyAlignment="1" applyProtection="1">
      <alignment horizontal="center" vertical="center" shrinkToFit="1"/>
      <protection locked="0"/>
    </xf>
    <xf numFmtId="0" fontId="28" fillId="9" borderId="141" xfId="2" applyFont="1" applyFill="1" applyBorder="1" applyAlignment="1" applyProtection="1">
      <alignment horizontal="center" vertical="center" wrapText="1" shrinkToFit="1"/>
      <protection locked="0"/>
    </xf>
    <xf numFmtId="0" fontId="28" fillId="9" borderId="139" xfId="2" applyFont="1" applyFill="1" applyBorder="1" applyAlignment="1" applyProtection="1">
      <alignment horizontal="center" vertical="center" wrapText="1" shrinkToFit="1"/>
      <protection locked="0"/>
    </xf>
    <xf numFmtId="0" fontId="28" fillId="9" borderId="59" xfId="2" applyFont="1" applyFill="1" applyBorder="1" applyAlignment="1" applyProtection="1">
      <alignment horizontal="center" vertical="center" wrapText="1" shrinkToFit="1"/>
      <protection locked="0"/>
    </xf>
    <xf numFmtId="38" fontId="40" fillId="0" borderId="3" xfId="3" applyFont="1" applyFill="1" applyBorder="1" applyAlignment="1" applyProtection="1">
      <alignment horizontal="right" vertical="center" shrinkToFit="1"/>
      <protection locked="0"/>
    </xf>
    <xf numFmtId="38" fontId="40" fillId="0" borderId="139" xfId="3" applyFont="1" applyFill="1" applyBorder="1" applyAlignment="1" applyProtection="1">
      <alignment horizontal="right" vertical="center" shrinkToFit="1"/>
      <protection locked="0"/>
    </xf>
    <xf numFmtId="0" fontId="22" fillId="9" borderId="139" xfId="2" applyFont="1" applyFill="1" applyBorder="1" applyAlignment="1" applyProtection="1">
      <alignment horizontal="center" vertical="center" shrinkToFit="1"/>
      <protection locked="0"/>
    </xf>
    <xf numFmtId="0" fontId="22" fillId="9" borderId="59" xfId="2" applyFont="1" applyFill="1" applyBorder="1" applyAlignment="1" applyProtection="1">
      <alignment horizontal="center" vertical="center" shrinkToFit="1"/>
      <protection locked="0"/>
    </xf>
    <xf numFmtId="0" fontId="22" fillId="9" borderId="138" xfId="2" applyFont="1" applyFill="1" applyBorder="1" applyAlignment="1" applyProtection="1">
      <alignment horizontal="center" vertical="center" shrinkToFit="1"/>
      <protection locked="0"/>
    </xf>
    <xf numFmtId="0" fontId="22" fillId="9" borderId="79" xfId="2" applyFont="1" applyFill="1" applyBorder="1" applyAlignment="1" applyProtection="1">
      <alignment horizontal="center" vertical="center" wrapText="1" shrinkToFit="1"/>
      <protection locked="0"/>
    </xf>
    <xf numFmtId="0" fontId="22" fillId="9" borderId="50" xfId="2" applyFont="1" applyFill="1" applyBorder="1" applyAlignment="1" applyProtection="1">
      <alignment horizontal="center" vertical="center" wrapText="1" shrinkToFit="1"/>
      <protection locked="0"/>
    </xf>
    <xf numFmtId="0" fontId="22" fillId="9" borderId="100" xfId="2" applyFont="1" applyFill="1" applyBorder="1" applyAlignment="1" applyProtection="1">
      <alignment horizontal="center" vertical="center" wrapText="1" shrinkToFit="1"/>
      <protection locked="0"/>
    </xf>
    <xf numFmtId="38" fontId="67" fillId="5" borderId="99" xfId="3" applyFont="1" applyFill="1" applyBorder="1" applyAlignment="1" applyProtection="1">
      <alignment horizontal="right" vertical="center" shrinkToFit="1"/>
    </xf>
    <xf numFmtId="38" fontId="67" fillId="5" borderId="50" xfId="3" applyFont="1" applyFill="1" applyBorder="1" applyAlignment="1" applyProtection="1">
      <alignment horizontal="right" vertical="center" shrinkToFit="1"/>
    </xf>
    <xf numFmtId="0" fontId="22" fillId="9" borderId="100" xfId="2" applyFont="1" applyFill="1" applyBorder="1" applyAlignment="1" applyProtection="1">
      <alignment horizontal="center" vertical="center" shrinkToFit="1"/>
      <protection locked="0"/>
    </xf>
    <xf numFmtId="0" fontId="22" fillId="9" borderId="41" xfId="2" applyFont="1" applyFill="1" applyBorder="1" applyAlignment="1" applyProtection="1">
      <alignment horizontal="center" vertical="center" shrinkToFit="1"/>
      <protection locked="0"/>
    </xf>
    <xf numFmtId="0" fontId="45" fillId="9" borderId="5" xfId="2" applyFont="1" applyFill="1" applyBorder="1" applyProtection="1">
      <alignment vertical="center"/>
      <protection locked="0"/>
    </xf>
    <xf numFmtId="0" fontId="31" fillId="9" borderId="20" xfId="2" applyFont="1" applyFill="1" applyBorder="1" applyAlignment="1" applyProtection="1">
      <alignment horizontal="center" vertical="center"/>
      <protection locked="0"/>
    </xf>
    <xf numFmtId="0" fontId="31" fillId="9" borderId="21" xfId="2" applyFont="1" applyFill="1" applyBorder="1" applyAlignment="1" applyProtection="1">
      <alignment horizontal="center" vertical="center"/>
      <protection locked="0"/>
    </xf>
    <xf numFmtId="0" fontId="22" fillId="9" borderId="32" xfId="2" applyFont="1" applyFill="1" applyBorder="1" applyAlignment="1" applyProtection="1">
      <alignment horizontal="center" vertical="center"/>
      <protection locked="0"/>
    </xf>
    <xf numFmtId="0" fontId="22" fillId="9" borderId="5" xfId="2" applyFont="1" applyFill="1" applyBorder="1" applyAlignment="1" applyProtection="1">
      <alignment horizontal="center" vertical="center"/>
      <protection locked="0"/>
    </xf>
    <xf numFmtId="0" fontId="22" fillId="9" borderId="22" xfId="2" applyFont="1" applyFill="1" applyBorder="1" applyAlignment="1" applyProtection="1">
      <alignment horizontal="center" vertical="center"/>
      <protection locked="0"/>
    </xf>
    <xf numFmtId="0" fontId="22" fillId="9" borderId="30" xfId="2" applyFont="1" applyFill="1" applyBorder="1" applyAlignment="1" applyProtection="1">
      <alignment horizontal="center" vertical="center"/>
      <protection locked="0"/>
    </xf>
    <xf numFmtId="0" fontId="22" fillId="9" borderId="33" xfId="2" applyFont="1" applyFill="1" applyBorder="1" applyAlignment="1" applyProtection="1">
      <alignment horizontal="center" vertical="center"/>
      <protection locked="0"/>
    </xf>
    <xf numFmtId="0" fontId="22" fillId="9" borderId="14" xfId="2" applyFont="1" applyFill="1" applyBorder="1" applyAlignment="1" applyProtection="1">
      <alignment horizontal="center" vertical="center"/>
      <protection locked="0"/>
    </xf>
    <xf numFmtId="0" fontId="22" fillId="9" borderId="0" xfId="2" applyFont="1" applyFill="1" applyAlignment="1" applyProtection="1">
      <alignment horizontal="left" vertical="center"/>
      <protection locked="0"/>
    </xf>
    <xf numFmtId="0" fontId="22" fillId="9" borderId="146" xfId="2" applyFont="1" applyFill="1" applyBorder="1" applyAlignment="1" applyProtection="1">
      <alignment horizontal="center" vertical="center" wrapText="1" shrinkToFit="1"/>
      <protection locked="0"/>
    </xf>
    <xf numFmtId="0" fontId="22" fillId="9" borderId="43" xfId="2" applyFont="1" applyFill="1" applyBorder="1" applyAlignment="1" applyProtection="1">
      <alignment horizontal="center" vertical="center" wrapText="1" shrinkToFit="1"/>
      <protection locked="0"/>
    </xf>
    <xf numFmtId="0" fontId="22" fillId="9" borderId="94" xfId="2" applyFont="1" applyFill="1" applyBorder="1" applyAlignment="1" applyProtection="1">
      <alignment horizontal="center" vertical="center" wrapText="1" shrinkToFit="1"/>
      <protection locked="0"/>
    </xf>
    <xf numFmtId="38" fontId="40" fillId="0" borderId="82" xfId="3" applyFont="1" applyFill="1" applyBorder="1" applyAlignment="1" applyProtection="1">
      <alignment horizontal="right" vertical="center" shrinkToFit="1"/>
      <protection locked="0"/>
    </xf>
    <xf numFmtId="38" fontId="40" fillId="0" borderId="43" xfId="3" applyFont="1" applyFill="1" applyBorder="1" applyAlignment="1" applyProtection="1">
      <alignment horizontal="right" vertical="center" shrinkToFit="1"/>
      <protection locked="0"/>
    </xf>
    <xf numFmtId="0" fontId="22" fillId="9" borderId="53" xfId="2" applyFont="1" applyFill="1" applyBorder="1" applyAlignment="1" applyProtection="1">
      <alignment horizontal="center" vertical="center" shrinkToFit="1"/>
      <protection locked="0"/>
    </xf>
    <xf numFmtId="0" fontId="22" fillId="9" borderId="89" xfId="2" applyFont="1" applyFill="1" applyBorder="1" applyAlignment="1" applyProtection="1">
      <alignment horizontal="center" vertical="center" wrapText="1"/>
      <protection locked="0"/>
    </xf>
    <xf numFmtId="0" fontId="20" fillId="0" borderId="0" xfId="1" applyFont="1" applyAlignment="1">
      <alignment horizontal="left" vertical="center" wrapText="1"/>
    </xf>
    <xf numFmtId="0" fontId="32" fillId="9" borderId="49" xfId="2" applyFont="1" applyFill="1" applyBorder="1" applyAlignment="1" applyProtection="1">
      <alignment horizontal="center" vertical="center" shrinkToFit="1"/>
      <protection locked="0"/>
    </xf>
    <xf numFmtId="0" fontId="29" fillId="9" borderId="148" xfId="2" applyFont="1" applyFill="1" applyBorder="1" applyAlignment="1" applyProtection="1">
      <alignment horizontal="center" vertical="center" shrinkToFit="1"/>
      <protection locked="0"/>
    </xf>
    <xf numFmtId="3" fontId="29" fillId="5" borderId="47" xfId="2" applyNumberFormat="1" applyFont="1" applyFill="1" applyBorder="1" applyAlignment="1">
      <alignment horizontal="right" vertical="center" wrapText="1"/>
    </xf>
    <xf numFmtId="3" fontId="29" fillId="5" borderId="52" xfId="2" applyNumberFormat="1" applyFont="1" applyFill="1" applyBorder="1" applyAlignment="1">
      <alignment horizontal="right" vertical="center" wrapText="1"/>
    </xf>
    <xf numFmtId="0" fontId="29" fillId="9" borderId="46" xfId="2" applyFont="1" applyFill="1" applyBorder="1" applyAlignment="1" applyProtection="1">
      <alignment horizontal="center" vertical="center" wrapText="1"/>
      <protection locked="0"/>
    </xf>
    <xf numFmtId="0" fontId="29" fillId="9" borderId="47" xfId="2" applyFont="1" applyFill="1" applyBorder="1" applyAlignment="1" applyProtection="1">
      <alignment horizontal="center" vertical="center" wrapText="1"/>
      <protection locked="0"/>
    </xf>
    <xf numFmtId="3" fontId="29" fillId="5" borderId="54" xfId="2" applyNumberFormat="1" applyFont="1" applyFill="1" applyBorder="1" applyAlignment="1">
      <alignment horizontal="right" vertical="center" wrapText="1"/>
    </xf>
    <xf numFmtId="0" fontId="62" fillId="9" borderId="0" xfId="2" applyFont="1" applyFill="1" applyAlignment="1" applyProtection="1">
      <alignment wrapText="1"/>
      <protection locked="0"/>
    </xf>
    <xf numFmtId="0" fontId="45" fillId="9" borderId="0" xfId="2" applyFont="1" applyFill="1" applyAlignment="1" applyProtection="1">
      <protection locked="0"/>
    </xf>
    <xf numFmtId="0" fontId="32" fillId="9" borderId="0" xfId="2" applyFont="1" applyFill="1" applyAlignment="1" applyProtection="1">
      <alignment horizontal="right" vertical="center" shrinkToFit="1"/>
      <protection locked="0"/>
    </xf>
    <xf numFmtId="0" fontId="32" fillId="9" borderId="49" xfId="2" applyFont="1" applyFill="1" applyBorder="1" applyAlignment="1" applyProtection="1">
      <alignment horizontal="right" vertical="center" shrinkToFit="1"/>
      <protection locked="0"/>
    </xf>
    <xf numFmtId="0" fontId="29" fillId="9" borderId="46" xfId="2" applyFont="1" applyFill="1" applyBorder="1" applyAlignment="1" applyProtection="1">
      <alignment horizontal="left" vertical="center" wrapText="1"/>
      <protection locked="0"/>
    </xf>
    <xf numFmtId="0" fontId="29" fillId="9" borderId="47" xfId="2" applyFont="1" applyFill="1" applyBorder="1" applyAlignment="1" applyProtection="1">
      <alignment horizontal="left" vertical="center" wrapText="1"/>
      <protection locked="0"/>
    </xf>
    <xf numFmtId="0" fontId="27" fillId="9" borderId="87" xfId="0" applyFont="1" applyFill="1" applyBorder="1" applyAlignment="1" applyProtection="1">
      <alignment horizontal="left" vertical="center" shrinkToFit="1"/>
      <protection locked="0"/>
    </xf>
    <xf numFmtId="0" fontId="27" fillId="16" borderId="86" xfId="0" applyFont="1" applyFill="1" applyBorder="1" applyAlignment="1" applyProtection="1">
      <alignment horizontal="left" vertical="center" shrinkToFit="1"/>
      <protection locked="0"/>
    </xf>
    <xf numFmtId="0" fontId="27" fillId="16" borderId="89" xfId="0" applyFont="1" applyFill="1" applyBorder="1" applyAlignment="1" applyProtection="1">
      <alignment horizontal="left" vertical="center" shrinkToFit="1"/>
      <protection locked="0"/>
    </xf>
    <xf numFmtId="178" fontId="37" fillId="5" borderId="84" xfId="3" applyNumberFormat="1" applyFont="1" applyFill="1" applyBorder="1" applyAlignment="1" applyProtection="1">
      <alignment horizontal="right" vertical="center"/>
    </xf>
    <xf numFmtId="178" fontId="37" fillId="5" borderId="86" xfId="3" applyNumberFormat="1" applyFont="1" applyFill="1" applyBorder="1" applyAlignment="1" applyProtection="1">
      <alignment horizontal="right" vertical="center"/>
    </xf>
    <xf numFmtId="0" fontId="27" fillId="14" borderId="76" xfId="0" applyFont="1" applyFill="1" applyBorder="1" applyAlignment="1" applyProtection="1">
      <alignment horizontal="left" vertical="center" shrinkToFit="1"/>
      <protection locked="0"/>
    </xf>
    <xf numFmtId="0" fontId="27" fillId="14" borderId="77" xfId="0" applyFont="1" applyFill="1" applyBorder="1" applyAlignment="1" applyProtection="1">
      <alignment horizontal="left" vertical="center" shrinkToFit="1"/>
      <protection locked="0"/>
    </xf>
    <xf numFmtId="0" fontId="27" fillId="14" borderId="44" xfId="0" applyFont="1" applyFill="1" applyBorder="1" applyAlignment="1" applyProtection="1">
      <alignment horizontal="left" vertical="center" shrinkToFit="1"/>
      <protection locked="0"/>
    </xf>
    <xf numFmtId="178" fontId="37" fillId="5" borderId="77" xfId="3" applyNumberFormat="1" applyFont="1" applyFill="1" applyBorder="1" applyAlignment="1" applyProtection="1">
      <alignment horizontal="right" vertical="center"/>
    </xf>
    <xf numFmtId="177" fontId="28" fillId="9" borderId="77" xfId="2" applyNumberFormat="1" applyFont="1" applyFill="1" applyBorder="1" applyAlignment="1" applyProtection="1">
      <alignment horizontal="left" vertical="center"/>
      <protection locked="0"/>
    </xf>
    <xf numFmtId="177" fontId="28" fillId="16" borderId="45" xfId="2" applyNumberFormat="1" applyFont="1" applyFill="1" applyBorder="1" applyAlignment="1" applyProtection="1">
      <alignment horizontal="left" vertical="center"/>
      <protection locked="0"/>
    </xf>
    <xf numFmtId="0" fontId="27" fillId="15" borderId="87" xfId="0" applyFont="1" applyFill="1" applyBorder="1" applyAlignment="1" applyProtection="1">
      <alignment horizontal="left" vertical="center" shrinkToFit="1"/>
      <protection locked="0"/>
    </xf>
    <xf numFmtId="0" fontId="27" fillId="15" borderId="86" xfId="0" applyFont="1" applyFill="1" applyBorder="1" applyAlignment="1" applyProtection="1">
      <alignment horizontal="left" vertical="center" shrinkToFit="1"/>
      <protection locked="0"/>
    </xf>
    <xf numFmtId="0" fontId="27" fillId="15" borderId="89" xfId="0" applyFont="1" applyFill="1" applyBorder="1" applyAlignment="1" applyProtection="1">
      <alignment horizontal="left" vertical="center" shrinkToFit="1"/>
      <protection locked="0"/>
    </xf>
    <xf numFmtId="177" fontId="28" fillId="9" borderId="5" xfId="2" applyNumberFormat="1" applyFont="1" applyFill="1" applyBorder="1" applyAlignment="1" applyProtection="1">
      <alignment horizontal="left" vertical="center"/>
      <protection locked="0"/>
    </xf>
    <xf numFmtId="177" fontId="28" fillId="16" borderId="14" xfId="2" applyNumberFormat="1" applyFont="1" applyFill="1" applyBorder="1" applyAlignment="1" applyProtection="1">
      <alignment horizontal="left" vertical="center"/>
      <protection locked="0"/>
    </xf>
    <xf numFmtId="0" fontId="22" fillId="6" borderId="17" xfId="2" applyFont="1" applyFill="1" applyBorder="1" applyAlignment="1" applyProtection="1">
      <alignment horizontal="left" vertical="center"/>
      <protection locked="0"/>
    </xf>
    <xf numFmtId="0" fontId="22" fillId="6" borderId="18" xfId="2" applyFont="1" applyFill="1" applyBorder="1" applyAlignment="1" applyProtection="1">
      <alignment horizontal="left" vertical="center"/>
      <protection locked="0"/>
    </xf>
    <xf numFmtId="0" fontId="22" fillId="0" borderId="19" xfId="2" applyFont="1" applyBorder="1" applyAlignment="1" applyProtection="1">
      <alignment horizontal="center" vertical="center" wrapText="1"/>
      <protection locked="0"/>
    </xf>
    <xf numFmtId="0" fontId="22" fillId="0" borderId="34" xfId="2" applyFont="1" applyBorder="1" applyAlignment="1" applyProtection="1">
      <alignment horizontal="center" vertical="center" wrapText="1"/>
      <protection locked="0"/>
    </xf>
    <xf numFmtId="0" fontId="22" fillId="0" borderId="32" xfId="2" applyFont="1" applyBorder="1" applyAlignment="1" applyProtection="1">
      <alignment horizontal="center" vertical="center" wrapText="1"/>
      <protection locked="0"/>
    </xf>
    <xf numFmtId="0" fontId="22" fillId="0" borderId="14" xfId="2" applyFont="1" applyBorder="1" applyAlignment="1" applyProtection="1">
      <alignment horizontal="center" vertical="center" wrapText="1"/>
      <protection locked="0"/>
    </xf>
    <xf numFmtId="0" fontId="22" fillId="6" borderId="140" xfId="2" applyFont="1" applyFill="1" applyBorder="1" applyAlignment="1" applyProtection="1">
      <alignment horizontal="left" vertical="center"/>
      <protection locked="0"/>
    </xf>
    <xf numFmtId="0" fontId="22" fillId="6" borderId="2" xfId="2" applyFont="1" applyFill="1" applyBorder="1" applyAlignment="1" applyProtection="1">
      <alignment horizontal="left" vertical="center"/>
      <protection locked="0"/>
    </xf>
    <xf numFmtId="0" fontId="22" fillId="6" borderId="62" xfId="2" applyFont="1" applyFill="1" applyBorder="1" applyAlignment="1" applyProtection="1">
      <alignment horizontal="left" vertical="center"/>
      <protection locked="0"/>
    </xf>
    <xf numFmtId="0" fontId="26" fillId="0" borderId="16" xfId="2" applyFont="1" applyBorder="1" applyAlignment="1" applyProtection="1">
      <alignment horizontal="left" vertical="center"/>
      <protection locked="0"/>
    </xf>
    <xf numFmtId="0" fontId="26" fillId="0" borderId="17" xfId="2" applyFont="1" applyBorder="1" applyAlignment="1" applyProtection="1">
      <alignment horizontal="left" vertical="center"/>
      <protection locked="0"/>
    </xf>
    <xf numFmtId="0" fontId="26" fillId="0" borderId="18" xfId="2" applyFont="1" applyBorder="1" applyAlignment="1" applyProtection="1">
      <alignment horizontal="left" vertical="center"/>
      <protection locked="0"/>
    </xf>
    <xf numFmtId="0" fontId="67" fillId="0" borderId="10" xfId="2" applyFont="1" applyBorder="1" applyAlignment="1" applyProtection="1">
      <alignment horizontal="center" vertical="center" wrapText="1"/>
      <protection locked="0"/>
    </xf>
    <xf numFmtId="0" fontId="67" fillId="0" borderId="57" xfId="2" applyFont="1" applyBorder="1" applyAlignment="1" applyProtection="1">
      <alignment horizontal="center" vertical="center" wrapText="1"/>
      <protection locked="0"/>
    </xf>
    <xf numFmtId="0" fontId="67" fillId="0" borderId="6" xfId="2" applyFont="1" applyBorder="1" applyAlignment="1" applyProtection="1">
      <alignment horizontal="center" vertical="center" wrapText="1"/>
      <protection locked="0"/>
    </xf>
    <xf numFmtId="0" fontId="67" fillId="0" borderId="9" xfId="2" applyFont="1" applyBorder="1" applyAlignment="1" applyProtection="1">
      <alignment horizontal="center" vertical="center" wrapText="1"/>
      <protection locked="0"/>
    </xf>
    <xf numFmtId="0" fontId="67" fillId="0" borderId="32" xfId="2" applyFont="1" applyBorder="1" applyAlignment="1" applyProtection="1">
      <alignment horizontal="center" vertical="center" wrapText="1"/>
      <protection locked="0"/>
    </xf>
    <xf numFmtId="0" fontId="67" fillId="0" borderId="14" xfId="2" applyFont="1" applyBorder="1" applyAlignment="1" applyProtection="1">
      <alignment horizontal="center" vertical="center" wrapText="1"/>
      <protection locked="0"/>
    </xf>
    <xf numFmtId="0" fontId="22" fillId="6" borderId="20" xfId="2" applyFont="1" applyFill="1" applyBorder="1" applyAlignment="1" applyProtection="1">
      <alignment horizontal="left" vertical="center"/>
      <protection locked="0"/>
    </xf>
    <xf numFmtId="0" fontId="22" fillId="6" borderId="21" xfId="2" applyFont="1" applyFill="1" applyBorder="1" applyAlignment="1" applyProtection="1">
      <alignment horizontal="left" vertical="center"/>
      <protection locked="0"/>
    </xf>
    <xf numFmtId="0" fontId="22" fillId="0" borderId="76" xfId="2" applyFont="1" applyBorder="1" applyAlignment="1" applyProtection="1">
      <alignment horizontal="center" vertical="center"/>
      <protection locked="0"/>
    </xf>
    <xf numFmtId="0" fontId="22" fillId="0" borderId="45" xfId="2" applyFont="1" applyBorder="1" applyAlignment="1" applyProtection="1">
      <alignment horizontal="center" vertical="center"/>
      <protection locked="0"/>
    </xf>
    <xf numFmtId="0" fontId="7" fillId="0" borderId="31" xfId="2" applyFont="1" applyBorder="1" applyAlignment="1" applyProtection="1">
      <alignment horizontal="left" vertical="center"/>
      <protection locked="0"/>
    </xf>
    <xf numFmtId="0" fontId="7" fillId="0" borderId="54" xfId="2" applyFont="1" applyBorder="1" applyAlignment="1" applyProtection="1">
      <alignment horizontal="left" vertical="center"/>
      <protection locked="0"/>
    </xf>
    <xf numFmtId="0" fontId="7" fillId="0" borderId="46" xfId="2" applyFont="1" applyBorder="1" applyAlignment="1" applyProtection="1">
      <alignment horizontal="left" vertical="center"/>
      <protection locked="0"/>
    </xf>
    <xf numFmtId="0" fontId="22" fillId="6" borderId="0" xfId="2" applyFont="1" applyFill="1" applyAlignment="1" applyProtection="1">
      <alignment horizontal="left" vertical="center"/>
      <protection locked="0"/>
    </xf>
    <xf numFmtId="0" fontId="22" fillId="6" borderId="49" xfId="2" applyFont="1" applyFill="1" applyBorder="1" applyAlignment="1" applyProtection="1">
      <alignment horizontal="left" vertical="center"/>
      <protection locked="0"/>
    </xf>
    <xf numFmtId="0" fontId="22" fillId="0" borderId="31" xfId="2"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2" fillId="0" borderId="31" xfId="2" applyFont="1" applyBorder="1" applyAlignment="1" applyProtection="1">
      <alignment horizontal="left" vertical="center"/>
      <protection locked="0"/>
    </xf>
    <xf numFmtId="0" fontId="22" fillId="0" borderId="54" xfId="2" applyFont="1" applyBorder="1" applyAlignment="1" applyProtection="1">
      <alignment horizontal="left" vertical="center"/>
      <protection locked="0"/>
    </xf>
    <xf numFmtId="0" fontId="22" fillId="0" borderId="46" xfId="2" applyFont="1" applyBorder="1" applyAlignment="1" applyProtection="1">
      <alignment horizontal="left" vertical="center"/>
      <protection locked="0"/>
    </xf>
    <xf numFmtId="0" fontId="6" fillId="7" borderId="0" xfId="2" applyFont="1" applyFill="1" applyAlignment="1" applyProtection="1">
      <alignment horizontal="left" vertical="center" shrinkToFit="1"/>
      <protection locked="0"/>
    </xf>
    <xf numFmtId="0" fontId="28" fillId="6" borderId="0" xfId="2" applyFont="1" applyFill="1" applyAlignment="1" applyProtection="1">
      <alignment horizontal="left" vertical="top" wrapText="1"/>
      <protection locked="0"/>
    </xf>
    <xf numFmtId="0" fontId="28" fillId="6" borderId="0" xfId="2" applyFont="1" applyFill="1" applyAlignment="1" applyProtection="1">
      <alignment horizontal="left" vertical="top"/>
      <protection locked="0"/>
    </xf>
    <xf numFmtId="0" fontId="68" fillId="6" borderId="0" xfId="2" applyFont="1" applyFill="1" applyAlignment="1" applyProtection="1">
      <alignment horizontal="left" vertical="top" wrapText="1"/>
      <protection locked="0"/>
    </xf>
    <xf numFmtId="0" fontId="20" fillId="8" borderId="0" xfId="2" applyFont="1" applyFill="1" applyAlignment="1">
      <alignment horizontal="left" vertical="center" wrapText="1"/>
    </xf>
    <xf numFmtId="38" fontId="37" fillId="8" borderId="10" xfId="3" applyFont="1" applyFill="1" applyBorder="1" applyAlignment="1" applyProtection="1">
      <alignment horizontal="center" vertical="center" wrapText="1"/>
      <protection locked="0"/>
    </xf>
    <xf numFmtId="38" fontId="37" fillId="8" borderId="11" xfId="3" applyFont="1" applyFill="1" applyBorder="1" applyAlignment="1" applyProtection="1">
      <alignment horizontal="center" vertical="center" wrapText="1"/>
      <protection locked="0"/>
    </xf>
    <xf numFmtId="38" fontId="37" fillId="8" borderId="57" xfId="3" applyFont="1" applyFill="1" applyBorder="1" applyAlignment="1" applyProtection="1">
      <alignment horizontal="center" vertical="center" wrapText="1"/>
      <protection locked="0"/>
    </xf>
    <xf numFmtId="38" fontId="37" fillId="8" borderId="32" xfId="3" applyFont="1" applyFill="1" applyBorder="1" applyAlignment="1" applyProtection="1">
      <alignment horizontal="center" vertical="center" wrapText="1"/>
      <protection locked="0"/>
    </xf>
    <xf numFmtId="38" fontId="37" fillId="8" borderId="5" xfId="3" applyFont="1" applyFill="1" applyBorder="1" applyAlignment="1" applyProtection="1">
      <alignment horizontal="center" vertical="center" wrapText="1"/>
      <protection locked="0"/>
    </xf>
    <xf numFmtId="38" fontId="37" fillId="8" borderId="14" xfId="3" applyFont="1" applyFill="1" applyBorder="1" applyAlignment="1" applyProtection="1">
      <alignment horizontal="center" vertical="center" wrapText="1"/>
      <protection locked="0"/>
    </xf>
    <xf numFmtId="0" fontId="0" fillId="0" borderId="0" xfId="0">
      <alignment vertical="center"/>
    </xf>
    <xf numFmtId="38" fontId="23" fillId="6" borderId="41" xfId="3" applyFont="1" applyFill="1" applyBorder="1" applyAlignment="1" applyProtection="1">
      <alignment horizontal="center" vertical="center" shrinkToFit="1"/>
      <protection locked="0"/>
    </xf>
    <xf numFmtId="0" fontId="6" fillId="8" borderId="28" xfId="2" applyFont="1" applyFill="1" applyBorder="1" applyAlignment="1" applyProtection="1">
      <alignment horizontal="center" vertical="center" wrapText="1"/>
      <protection locked="0"/>
    </xf>
    <xf numFmtId="0" fontId="6" fillId="8" borderId="20" xfId="2" applyFont="1" applyFill="1" applyBorder="1" applyAlignment="1" applyProtection="1">
      <alignment horizontal="center" vertical="center" wrapText="1"/>
      <protection locked="0"/>
    </xf>
    <xf numFmtId="0" fontId="6" fillId="8" borderId="30" xfId="2" applyFont="1" applyFill="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22" fillId="0" borderId="160" xfId="2" applyFont="1" applyBorder="1" applyAlignment="1" applyProtection="1">
      <alignment horizontal="center" vertical="center" wrapText="1"/>
      <protection locked="0"/>
    </xf>
    <xf numFmtId="0" fontId="22" fillId="0" borderId="105" xfId="2" applyFont="1" applyBorder="1" applyAlignment="1" applyProtection="1">
      <alignment horizontal="center" vertical="center" wrapText="1"/>
      <protection locked="0"/>
    </xf>
    <xf numFmtId="0" fontId="22" fillId="0" borderId="30" xfId="2" applyFont="1" applyBorder="1" applyAlignment="1" applyProtection="1">
      <alignment horizontal="center" vertical="center" wrapText="1"/>
      <protection locked="0"/>
    </xf>
    <xf numFmtId="0" fontId="28" fillId="25" borderId="17" xfId="2" applyFont="1" applyFill="1" applyBorder="1" applyAlignment="1" applyProtection="1">
      <alignment horizontal="center" vertical="center" wrapText="1"/>
      <protection locked="0"/>
    </xf>
    <xf numFmtId="0" fontId="28" fillId="25" borderId="159" xfId="2" applyFont="1" applyFill="1" applyBorder="1" applyAlignment="1" applyProtection="1">
      <alignment horizontal="center" vertical="center" wrapText="1"/>
      <protection locked="0"/>
    </xf>
    <xf numFmtId="38" fontId="23" fillId="6" borderId="50" xfId="3" applyFont="1" applyFill="1" applyBorder="1" applyAlignment="1" applyProtection="1">
      <alignment horizontal="center" vertical="center" shrinkToFit="1"/>
      <protection locked="0"/>
    </xf>
    <xf numFmtId="38" fontId="23" fillId="6" borderId="79" xfId="3" applyFont="1" applyFill="1" applyBorder="1" applyAlignment="1" applyProtection="1">
      <alignment horizontal="center" vertical="center"/>
      <protection locked="0"/>
    </xf>
    <xf numFmtId="38" fontId="23" fillId="6" borderId="41" xfId="3" applyFont="1" applyFill="1" applyBorder="1" applyAlignment="1" applyProtection="1">
      <alignment horizontal="center" vertical="center"/>
      <protection locked="0"/>
    </xf>
    <xf numFmtId="38" fontId="23" fillId="6" borderId="90" xfId="3" applyFont="1" applyFill="1" applyBorder="1" applyAlignment="1" applyProtection="1">
      <alignment horizontal="center" vertical="center" shrinkToFit="1"/>
      <protection locked="0"/>
    </xf>
    <xf numFmtId="38" fontId="23" fillId="6" borderId="92" xfId="3" applyFont="1" applyFill="1" applyBorder="1" applyAlignment="1" applyProtection="1">
      <alignment horizontal="center" vertical="center" shrinkToFit="1"/>
      <protection locked="0"/>
    </xf>
    <xf numFmtId="38" fontId="23" fillId="34" borderId="54" xfId="3" applyFont="1" applyFill="1" applyBorder="1" applyAlignment="1" applyProtection="1">
      <alignment horizontal="center" vertical="center" shrinkToFit="1"/>
    </xf>
    <xf numFmtId="38" fontId="23" fillId="34" borderId="46" xfId="3" applyFont="1" applyFill="1" applyBorder="1" applyAlignment="1" applyProtection="1">
      <alignment horizontal="center" vertical="center" shrinkToFit="1"/>
    </xf>
    <xf numFmtId="0" fontId="28" fillId="7" borderId="28" xfId="2" applyFont="1" applyFill="1" applyBorder="1" applyAlignment="1" applyProtection="1">
      <alignment horizontal="center" vertical="center" wrapText="1"/>
      <protection locked="0"/>
    </xf>
    <xf numFmtId="0" fontId="28" fillId="7" borderId="20" xfId="2" applyFont="1" applyFill="1" applyBorder="1" applyAlignment="1" applyProtection="1">
      <alignment horizontal="center" vertical="center" wrapText="1"/>
      <protection locked="0"/>
    </xf>
    <xf numFmtId="0" fontId="28" fillId="7" borderId="21" xfId="2" applyFont="1" applyFill="1" applyBorder="1" applyAlignment="1" applyProtection="1">
      <alignment horizontal="center" vertical="center" wrapText="1"/>
      <protection locked="0"/>
    </xf>
    <xf numFmtId="0" fontId="28" fillId="6" borderId="28" xfId="2" applyFont="1" applyFill="1" applyBorder="1" applyAlignment="1" applyProtection="1">
      <alignment horizontal="center" vertical="center" wrapText="1"/>
      <protection locked="0"/>
    </xf>
    <xf numFmtId="0" fontId="28" fillId="6" borderId="20" xfId="2" applyFont="1" applyFill="1" applyBorder="1" applyAlignment="1" applyProtection="1">
      <alignment horizontal="center" vertical="center" wrapText="1"/>
      <protection locked="0"/>
    </xf>
    <xf numFmtId="0" fontId="28" fillId="6" borderId="21" xfId="2" applyFont="1" applyFill="1" applyBorder="1" applyAlignment="1" applyProtection="1">
      <alignment horizontal="center" vertical="center" wrapText="1"/>
      <protection locked="0"/>
    </xf>
    <xf numFmtId="0" fontId="21" fillId="7" borderId="0" xfId="0" applyFont="1" applyFill="1" applyAlignment="1" applyProtection="1">
      <alignment horizontal="center" vertical="center" shrinkToFit="1"/>
      <protection locked="0"/>
    </xf>
    <xf numFmtId="0" fontId="31" fillId="7" borderId="0" xfId="2" applyFont="1" applyFill="1" applyAlignment="1" applyProtection="1">
      <alignment horizontal="left" vertical="center" shrinkToFit="1"/>
      <protection locked="0"/>
    </xf>
    <xf numFmtId="0" fontId="34" fillId="12" borderId="28" xfId="0" applyFont="1" applyFill="1" applyBorder="1" applyAlignment="1" applyProtection="1">
      <alignment horizontal="center" vertical="center" wrapText="1"/>
      <protection locked="0"/>
    </xf>
    <xf numFmtId="0" fontId="34" fillId="12" borderId="20" xfId="0" applyFont="1" applyFill="1" applyBorder="1" applyAlignment="1" applyProtection="1">
      <alignment horizontal="center" vertical="center" wrapText="1"/>
      <protection locked="0"/>
    </xf>
    <xf numFmtId="0" fontId="28" fillId="0" borderId="133" xfId="2" applyFont="1" applyBorder="1" applyAlignment="1" applyProtection="1">
      <alignment horizontal="center" vertical="center" wrapText="1" shrinkToFit="1"/>
      <protection locked="0"/>
    </xf>
    <xf numFmtId="0" fontId="28" fillId="0" borderId="20" xfId="2" applyFont="1" applyBorder="1" applyAlignment="1" applyProtection="1">
      <alignment horizontal="center" vertical="center" wrapText="1" shrinkToFit="1"/>
      <protection locked="0"/>
    </xf>
    <xf numFmtId="0" fontId="28" fillId="0" borderId="21" xfId="2" applyFont="1" applyBorder="1" applyAlignment="1" applyProtection="1">
      <alignment horizontal="center" vertical="center" wrapText="1" shrinkToFit="1"/>
      <protection locked="0"/>
    </xf>
    <xf numFmtId="0" fontId="28" fillId="0" borderId="134" xfId="2" applyFont="1" applyBorder="1" applyAlignment="1" applyProtection="1">
      <alignment horizontal="center" vertical="center" wrapText="1" shrinkToFit="1"/>
      <protection locked="0"/>
    </xf>
    <xf numFmtId="0" fontId="28" fillId="0" borderId="0" xfId="2" applyFont="1" applyAlignment="1" applyProtection="1">
      <alignment horizontal="center" vertical="center" wrapText="1" shrinkToFit="1"/>
      <protection locked="0"/>
    </xf>
    <xf numFmtId="0" fontId="28" fillId="0" borderId="49" xfId="2" applyFont="1" applyBorder="1" applyAlignment="1" applyProtection="1">
      <alignment horizontal="center" vertical="center" wrapText="1" shrinkToFit="1"/>
      <protection locked="0"/>
    </xf>
    <xf numFmtId="0" fontId="34" fillId="12" borderId="30" xfId="0" applyFont="1" applyFill="1" applyBorder="1" applyAlignment="1" applyProtection="1">
      <alignment horizontal="center" vertical="center" wrapText="1"/>
      <protection locked="0"/>
    </xf>
    <xf numFmtId="0" fontId="34" fillId="12" borderId="0" xfId="0" applyFont="1" applyFill="1" applyAlignment="1" applyProtection="1">
      <alignment horizontal="center" vertical="center" wrapText="1"/>
      <protection locked="0"/>
    </xf>
    <xf numFmtId="0" fontId="34" fillId="12" borderId="157" xfId="0" applyFont="1" applyFill="1" applyBorder="1" applyAlignment="1" applyProtection="1">
      <alignment horizontal="center" vertical="center" wrapText="1"/>
      <protection locked="0"/>
    </xf>
    <xf numFmtId="0" fontId="34" fillId="12" borderId="49" xfId="0" applyFont="1" applyFill="1" applyBorder="1" applyAlignment="1" applyProtection="1">
      <alignment horizontal="center" vertical="center" wrapText="1"/>
      <protection locked="0"/>
    </xf>
    <xf numFmtId="0" fontId="21" fillId="25" borderId="52" xfId="2" applyFont="1" applyFill="1" applyBorder="1" applyAlignment="1" applyProtection="1">
      <alignment horizontal="center" vertical="center" shrinkToFit="1"/>
      <protection locked="0"/>
    </xf>
    <xf numFmtId="0" fontId="21" fillId="25" borderId="54" xfId="2" applyFont="1" applyFill="1" applyBorder="1" applyAlignment="1" applyProtection="1">
      <alignment horizontal="center" vertical="center" shrinkToFit="1"/>
      <protection locked="0"/>
    </xf>
    <xf numFmtId="0" fontId="21" fillId="25" borderId="20" xfId="2" applyFont="1" applyFill="1" applyBorder="1" applyAlignment="1" applyProtection="1">
      <alignment horizontal="center" vertical="center" shrinkToFit="1"/>
      <protection locked="0"/>
    </xf>
    <xf numFmtId="0" fontId="21" fillId="25" borderId="158" xfId="2" applyFont="1" applyFill="1" applyBorder="1" applyAlignment="1" applyProtection="1">
      <alignment horizontal="center" vertical="center" shrinkToFit="1"/>
      <protection locked="0"/>
    </xf>
    <xf numFmtId="0" fontId="32" fillId="4" borderId="0" xfId="2" applyFont="1" applyFill="1" applyAlignment="1" applyProtection="1">
      <alignment horizontal="right" vertical="center" shrinkToFit="1"/>
      <protection locked="0"/>
    </xf>
    <xf numFmtId="0" fontId="32" fillId="4" borderId="49" xfId="2" applyFont="1" applyFill="1" applyBorder="1" applyAlignment="1" applyProtection="1">
      <alignment horizontal="right" vertical="center" shrinkToFit="1"/>
      <protection locked="0"/>
    </xf>
    <xf numFmtId="0" fontId="29" fillId="4" borderId="46" xfId="2" applyFont="1" applyFill="1" applyBorder="1" applyAlignment="1" applyProtection="1">
      <alignment horizontal="left" vertical="center" wrapText="1"/>
      <protection locked="0"/>
    </xf>
    <xf numFmtId="0" fontId="29" fillId="4" borderId="47" xfId="2" applyFont="1" applyFill="1" applyBorder="1" applyAlignment="1" applyProtection="1">
      <alignment horizontal="left" vertical="center" wrapText="1"/>
      <protection locked="0"/>
    </xf>
    <xf numFmtId="0" fontId="62" fillId="4" borderId="0" xfId="2" applyFont="1" applyFill="1" applyAlignment="1" applyProtection="1">
      <alignment horizontal="right" wrapText="1"/>
      <protection locked="0"/>
    </xf>
    <xf numFmtId="0" fontId="45" fillId="4" borderId="0" xfId="2" applyFont="1" applyFill="1" applyAlignment="1" applyProtection="1">
      <alignment horizontal="right"/>
      <protection locked="0"/>
    </xf>
    <xf numFmtId="177" fontId="28" fillId="5" borderId="77" xfId="2" applyNumberFormat="1" applyFont="1" applyFill="1" applyBorder="1" applyAlignment="1" applyProtection="1">
      <alignment horizontal="center" vertical="center"/>
      <protection locked="0"/>
    </xf>
    <xf numFmtId="177" fontId="28" fillId="5" borderId="45" xfId="2" applyNumberFormat="1" applyFont="1" applyFill="1" applyBorder="1" applyAlignment="1" applyProtection="1">
      <alignment horizontal="center" vertical="center"/>
      <protection locked="0"/>
    </xf>
    <xf numFmtId="177" fontId="28" fillId="5" borderId="5" xfId="2" applyNumberFormat="1" applyFont="1" applyFill="1" applyBorder="1" applyAlignment="1" applyProtection="1">
      <alignment horizontal="center" vertical="center"/>
      <protection locked="0"/>
    </xf>
    <xf numFmtId="177" fontId="28" fillId="5" borderId="14" xfId="2" applyNumberFormat="1" applyFont="1" applyFill="1" applyBorder="1" applyAlignment="1" applyProtection="1">
      <alignment horizontal="center" vertical="center"/>
      <protection locked="0"/>
    </xf>
    <xf numFmtId="0" fontId="27" fillId="4" borderId="87" xfId="0" applyFont="1" applyFill="1" applyBorder="1" applyAlignment="1" applyProtection="1">
      <alignment horizontal="left" vertical="center" shrinkToFit="1"/>
      <protection locked="0"/>
    </xf>
    <xf numFmtId="0" fontId="27" fillId="33" borderId="86" xfId="0" applyFont="1" applyFill="1" applyBorder="1" applyAlignment="1" applyProtection="1">
      <alignment horizontal="left" vertical="center" shrinkToFit="1"/>
      <protection locked="0"/>
    </xf>
    <xf numFmtId="0" fontId="27" fillId="33" borderId="89" xfId="0" applyFont="1" applyFill="1" applyBorder="1" applyAlignment="1" applyProtection="1">
      <alignment horizontal="left" vertical="center" shrinkToFit="1"/>
      <protection locked="0"/>
    </xf>
    <xf numFmtId="0" fontId="27" fillId="4" borderId="19" xfId="0" applyFont="1" applyFill="1" applyBorder="1" applyAlignment="1" applyProtection="1">
      <alignment horizontal="center" vertical="center" textRotation="255" shrinkToFit="1"/>
      <protection locked="0"/>
    </xf>
    <xf numFmtId="0" fontId="27" fillId="33" borderId="20" xfId="0" applyFont="1" applyFill="1" applyBorder="1" applyAlignment="1" applyProtection="1">
      <alignment horizontal="center" vertical="center" textRotation="255" shrinkToFit="1"/>
      <protection locked="0"/>
    </xf>
    <xf numFmtId="0" fontId="27" fillId="33" borderId="6" xfId="0" applyFont="1" applyFill="1" applyBorder="1" applyAlignment="1" applyProtection="1">
      <alignment horizontal="center" vertical="center" textRotation="255" shrinkToFit="1"/>
      <protection locked="0"/>
    </xf>
    <xf numFmtId="0" fontId="27" fillId="33" borderId="0" xfId="0" applyFont="1" applyFill="1" applyAlignment="1" applyProtection="1">
      <alignment horizontal="center" vertical="center" textRotation="255" shrinkToFit="1"/>
      <protection locked="0"/>
    </xf>
    <xf numFmtId="0" fontId="27" fillId="33" borderId="16" xfId="0" applyFont="1" applyFill="1" applyBorder="1" applyAlignment="1" applyProtection="1">
      <alignment horizontal="center" vertical="center" textRotation="255" shrinkToFit="1"/>
      <protection locked="0"/>
    </xf>
    <xf numFmtId="0" fontId="27" fillId="33" borderId="17" xfId="0" applyFont="1" applyFill="1" applyBorder="1" applyAlignment="1" applyProtection="1">
      <alignment horizontal="center" vertical="center" textRotation="255" shrinkToFit="1"/>
      <protection locked="0"/>
    </xf>
    <xf numFmtId="0" fontId="46" fillId="4" borderId="52" xfId="0" applyFont="1" applyFill="1" applyBorder="1" applyAlignment="1" applyProtection="1">
      <alignment horizontal="left" vertical="center" shrinkToFit="1"/>
      <protection locked="0"/>
    </xf>
    <xf numFmtId="0" fontId="46" fillId="33" borderId="54" xfId="0" applyFont="1" applyFill="1" applyBorder="1" applyAlignment="1" applyProtection="1">
      <alignment horizontal="left" vertical="center" shrinkToFit="1"/>
      <protection locked="0"/>
    </xf>
    <xf numFmtId="0" fontId="46" fillId="33" borderId="46" xfId="0" applyFont="1" applyFill="1" applyBorder="1" applyAlignment="1" applyProtection="1">
      <alignment horizontal="left" vertical="center" shrinkToFit="1"/>
      <protection locked="0"/>
    </xf>
    <xf numFmtId="0" fontId="44" fillId="4" borderId="11" xfId="2" applyFont="1" applyFill="1" applyBorder="1" applyAlignment="1" applyProtection="1">
      <alignment horizontal="right" vertical="top"/>
      <protection locked="0"/>
    </xf>
    <xf numFmtId="0" fontId="29" fillId="4" borderId="11" xfId="2" applyFont="1" applyFill="1" applyBorder="1" applyAlignment="1" applyProtection="1">
      <alignment horizontal="left" vertical="center" wrapText="1"/>
      <protection locked="0"/>
    </xf>
    <xf numFmtId="0" fontId="29" fillId="4" borderId="0" xfId="2" applyFont="1" applyFill="1" applyAlignment="1" applyProtection="1">
      <alignment horizontal="left" vertical="center" wrapText="1"/>
      <protection locked="0"/>
    </xf>
    <xf numFmtId="0" fontId="43" fillId="4" borderId="6" xfId="2" applyFont="1" applyFill="1" applyBorder="1" applyAlignment="1" applyProtection="1">
      <alignment horizontal="left" wrapText="1"/>
      <protection locked="0"/>
    </xf>
    <xf numFmtId="0" fontId="43" fillId="33" borderId="0" xfId="2" applyFont="1" applyFill="1" applyAlignment="1" applyProtection="1">
      <alignment horizontal="left" wrapText="1"/>
      <protection locked="0"/>
    </xf>
    <xf numFmtId="0" fontId="43" fillId="33" borderId="6" xfId="2" applyFont="1" applyFill="1" applyBorder="1" applyAlignment="1" applyProtection="1">
      <alignment horizontal="left" wrapText="1"/>
      <protection locked="0"/>
    </xf>
    <xf numFmtId="0" fontId="27" fillId="4" borderId="54" xfId="0" applyFont="1" applyFill="1" applyBorder="1" applyAlignment="1" applyProtection="1">
      <alignment horizontal="left" vertical="center"/>
      <protection locked="0"/>
    </xf>
    <xf numFmtId="0" fontId="27" fillId="33" borderId="54" xfId="0" applyFont="1" applyFill="1" applyBorder="1" applyAlignment="1" applyProtection="1">
      <alignment horizontal="left" vertical="center"/>
      <protection locked="0"/>
    </xf>
    <xf numFmtId="0" fontId="27" fillId="33" borderId="46" xfId="0" applyFont="1" applyFill="1" applyBorder="1" applyAlignment="1" applyProtection="1">
      <alignment horizontal="left" vertical="center"/>
      <protection locked="0"/>
    </xf>
    <xf numFmtId="178" fontId="37" fillId="5" borderId="36" xfId="3" applyNumberFormat="1" applyFont="1" applyFill="1" applyBorder="1" applyAlignment="1" applyProtection="1">
      <alignment horizontal="right" vertical="center"/>
    </xf>
    <xf numFmtId="178" fontId="37" fillId="5" borderId="60" xfId="3" applyNumberFormat="1" applyFont="1" applyFill="1" applyBorder="1" applyAlignment="1" applyProtection="1">
      <alignment horizontal="right" vertical="center"/>
    </xf>
    <xf numFmtId="0" fontId="27" fillId="4" borderId="31" xfId="0" applyFont="1" applyFill="1" applyBorder="1" applyAlignment="1" applyProtection="1">
      <alignment horizontal="left" vertical="center" shrinkToFit="1"/>
      <protection locked="0"/>
    </xf>
    <xf numFmtId="0" fontId="27" fillId="33" borderId="54" xfId="0" applyFont="1" applyFill="1" applyBorder="1" applyAlignment="1" applyProtection="1">
      <alignment horizontal="left" vertical="center" shrinkToFit="1"/>
      <protection locked="0"/>
    </xf>
    <xf numFmtId="0" fontId="27" fillId="33" borderId="46" xfId="0" applyFont="1" applyFill="1" applyBorder="1" applyAlignment="1" applyProtection="1">
      <alignment horizontal="left" vertical="center" shrinkToFit="1"/>
      <protection locked="0"/>
    </xf>
    <xf numFmtId="0" fontId="36" fillId="4" borderId="6" xfId="0" applyFont="1" applyFill="1" applyBorder="1" applyAlignment="1" applyProtection="1">
      <alignment horizontal="center" vertical="center" textRotation="255" wrapText="1"/>
      <protection locked="0"/>
    </xf>
    <xf numFmtId="0" fontId="36" fillId="33" borderId="0" xfId="0" applyFont="1" applyFill="1" applyAlignment="1" applyProtection="1">
      <alignment horizontal="center" vertical="center" textRotation="255"/>
      <protection locked="0"/>
    </xf>
    <xf numFmtId="0" fontId="36" fillId="33" borderId="6" xfId="0" applyFont="1" applyFill="1" applyBorder="1" applyAlignment="1" applyProtection="1">
      <alignment horizontal="center" vertical="center" textRotation="255"/>
      <protection locked="0"/>
    </xf>
    <xf numFmtId="0" fontId="36" fillId="33" borderId="16" xfId="0" applyFont="1" applyFill="1" applyBorder="1" applyAlignment="1" applyProtection="1">
      <alignment horizontal="center" vertical="center" textRotation="255"/>
      <protection locked="0"/>
    </xf>
    <xf numFmtId="0" fontId="36" fillId="33" borderId="17" xfId="0" applyFont="1" applyFill="1" applyBorder="1" applyAlignment="1" applyProtection="1">
      <alignment horizontal="center" vertical="center" textRotation="255"/>
      <protection locked="0"/>
    </xf>
    <xf numFmtId="178" fontId="37" fillId="5" borderId="30" xfId="3" applyNumberFormat="1" applyFont="1" applyFill="1" applyBorder="1" applyAlignment="1" applyProtection="1">
      <alignment horizontal="right" vertical="center"/>
    </xf>
    <xf numFmtId="178" fontId="37" fillId="5" borderId="0" xfId="3" applyNumberFormat="1" applyFont="1" applyFill="1" applyBorder="1" applyAlignment="1" applyProtection="1">
      <alignment horizontal="right" vertical="center"/>
    </xf>
    <xf numFmtId="0" fontId="27" fillId="4" borderId="12" xfId="0" applyFont="1" applyFill="1" applyBorder="1" applyAlignment="1" applyProtection="1">
      <alignment horizontal="left" vertical="center" shrinkToFit="1"/>
      <protection locked="0"/>
    </xf>
    <xf numFmtId="0" fontId="27" fillId="4" borderId="55" xfId="0" applyFont="1" applyFill="1" applyBorder="1" applyAlignment="1" applyProtection="1">
      <alignment horizontal="left" vertical="center" shrinkToFit="1"/>
      <protection locked="0"/>
    </xf>
    <xf numFmtId="0" fontId="27" fillId="4" borderId="58" xfId="0" applyFont="1" applyFill="1" applyBorder="1" applyAlignment="1" applyProtection="1">
      <alignment horizontal="left" vertical="center" shrinkToFit="1"/>
      <protection locked="0"/>
    </xf>
    <xf numFmtId="0" fontId="27" fillId="4" borderId="13" xfId="0" applyFont="1" applyFill="1" applyBorder="1" applyAlignment="1" applyProtection="1">
      <alignment horizontal="left" vertical="center" shrinkToFit="1"/>
      <protection locked="0"/>
    </xf>
    <xf numFmtId="0" fontId="27" fillId="33" borderId="26" xfId="0" applyFont="1" applyFill="1" applyBorder="1" applyAlignment="1" applyProtection="1">
      <alignment horizontal="left" vertical="center" shrinkToFit="1"/>
      <protection locked="0"/>
    </xf>
    <xf numFmtId="0" fontId="27" fillId="33" borderId="88" xfId="0" applyFont="1" applyFill="1" applyBorder="1" applyAlignment="1" applyProtection="1">
      <alignment horizontal="left" vertical="center" shrinkToFit="1"/>
      <protection locked="0"/>
    </xf>
    <xf numFmtId="178" fontId="23" fillId="3" borderId="13" xfId="3" applyNumberFormat="1" applyFont="1" applyFill="1" applyBorder="1" applyAlignment="1" applyProtection="1">
      <alignment horizontal="right" vertical="center"/>
      <protection locked="0"/>
    </xf>
    <xf numFmtId="178" fontId="23" fillId="3" borderId="26" xfId="3" applyNumberFormat="1" applyFont="1" applyFill="1" applyBorder="1" applyAlignment="1" applyProtection="1">
      <alignment horizontal="right" vertical="center"/>
      <protection locked="0"/>
    </xf>
    <xf numFmtId="178" fontId="37" fillId="5" borderId="29" xfId="3" applyNumberFormat="1" applyFont="1" applyFill="1" applyBorder="1" applyAlignment="1" applyProtection="1">
      <alignment horizontal="right" vertical="center"/>
    </xf>
    <xf numFmtId="178" fontId="37" fillId="5" borderId="42" xfId="3" applyNumberFormat="1" applyFont="1" applyFill="1" applyBorder="1" applyAlignment="1" applyProtection="1">
      <alignment horizontal="right" vertical="center"/>
    </xf>
    <xf numFmtId="0" fontId="46" fillId="4" borderId="12" xfId="0" applyFont="1" applyFill="1" applyBorder="1" applyAlignment="1" applyProtection="1">
      <alignment horizontal="left" vertical="center" shrinkToFit="1"/>
      <protection locked="0"/>
    </xf>
    <xf numFmtId="0" fontId="46" fillId="4" borderId="55" xfId="0" applyFont="1" applyFill="1" applyBorder="1" applyAlignment="1" applyProtection="1">
      <alignment horizontal="left" vertical="center" shrinkToFit="1"/>
      <protection locked="0"/>
    </xf>
    <xf numFmtId="0" fontId="46" fillId="4" borderId="58" xfId="0" applyFont="1" applyFill="1" applyBorder="1" applyAlignment="1" applyProtection="1">
      <alignment horizontal="left" vertical="center" shrinkToFit="1"/>
      <protection locked="0"/>
    </xf>
    <xf numFmtId="178" fontId="8" fillId="3" borderId="60" xfId="3" applyNumberFormat="1" applyFont="1" applyFill="1" applyBorder="1" applyAlignment="1" applyProtection="1">
      <alignment horizontal="right" vertical="center"/>
      <protection locked="0"/>
    </xf>
    <xf numFmtId="0" fontId="27" fillId="33" borderId="55" xfId="0" applyFont="1" applyFill="1" applyBorder="1" applyAlignment="1" applyProtection="1">
      <alignment horizontal="left" vertical="center" shrinkToFit="1"/>
      <protection locked="0"/>
    </xf>
    <xf numFmtId="0" fontId="27" fillId="33" borderId="58" xfId="0" applyFont="1" applyFill="1" applyBorder="1" applyAlignment="1" applyProtection="1">
      <alignment horizontal="left" vertical="center" shrinkToFit="1"/>
      <protection locked="0"/>
    </xf>
    <xf numFmtId="0" fontId="29" fillId="4" borderId="54" xfId="2" applyFont="1" applyFill="1" applyBorder="1" applyAlignment="1" applyProtection="1">
      <alignment horizontal="center" vertical="center" wrapText="1"/>
      <protection locked="0"/>
    </xf>
    <xf numFmtId="0" fontId="29" fillId="4" borderId="46" xfId="2" applyFont="1" applyFill="1" applyBorder="1" applyAlignment="1" applyProtection="1">
      <alignment horizontal="center" vertical="center" wrapText="1"/>
      <protection locked="0"/>
    </xf>
    <xf numFmtId="0" fontId="62" fillId="4" borderId="0" xfId="2" applyFont="1" applyFill="1" applyAlignment="1" applyProtection="1">
      <alignment wrapText="1"/>
      <protection locked="0"/>
    </xf>
    <xf numFmtId="0" fontId="45" fillId="4" borderId="0" xfId="2" applyFont="1" applyFill="1" applyAlignment="1" applyProtection="1">
      <protection locked="0"/>
    </xf>
    <xf numFmtId="0" fontId="22" fillId="30" borderId="0" xfId="2" applyFont="1" applyFill="1" applyAlignment="1" applyProtection="1">
      <alignment horizontal="left" vertical="center" shrinkToFit="1"/>
      <protection locked="0"/>
    </xf>
    <xf numFmtId="0" fontId="45" fillId="4" borderId="5" xfId="2" applyFont="1" applyFill="1" applyBorder="1" applyAlignment="1" applyProtection="1">
      <alignment horizontal="left" vertical="center"/>
      <protection locked="0"/>
    </xf>
    <xf numFmtId="0" fontId="27" fillId="4" borderId="10" xfId="0" applyFont="1" applyFill="1" applyBorder="1" applyAlignment="1" applyProtection="1">
      <alignment horizontal="center" vertical="center" textRotation="255"/>
      <protection locked="0"/>
    </xf>
    <xf numFmtId="0" fontId="27" fillId="33" borderId="74" xfId="0" applyFont="1" applyFill="1" applyBorder="1" applyAlignment="1" applyProtection="1">
      <alignment horizontal="center" vertical="center" textRotation="255"/>
      <protection locked="0"/>
    </xf>
    <xf numFmtId="0" fontId="27" fillId="33" borderId="6" xfId="0" applyFont="1" applyFill="1" applyBorder="1" applyAlignment="1" applyProtection="1">
      <alignment horizontal="center" vertical="center" textRotation="255"/>
      <protection locked="0"/>
    </xf>
    <xf numFmtId="0" fontId="27" fillId="33" borderId="49" xfId="0" applyFont="1" applyFill="1" applyBorder="1" applyAlignment="1" applyProtection="1">
      <alignment horizontal="center" vertical="center" textRotation="255"/>
      <protection locked="0"/>
    </xf>
    <xf numFmtId="0" fontId="27" fillId="4" borderId="82" xfId="0" applyFont="1" applyFill="1" applyBorder="1" applyAlignment="1" applyProtection="1">
      <alignment horizontal="left" vertical="center" shrinkToFit="1"/>
      <protection locked="0"/>
    </xf>
    <xf numFmtId="0" fontId="27" fillId="33" borderId="43" xfId="0" applyFont="1" applyFill="1" applyBorder="1" applyAlignment="1" applyProtection="1">
      <alignment horizontal="left" vertical="center" shrinkToFit="1"/>
      <protection locked="0"/>
    </xf>
    <xf numFmtId="0" fontId="27" fillId="33" borderId="94" xfId="0" applyFont="1" applyFill="1" applyBorder="1" applyAlignment="1" applyProtection="1">
      <alignment horizontal="left" vertical="center" shrinkToFit="1"/>
      <protection locked="0"/>
    </xf>
    <xf numFmtId="0" fontId="27" fillId="4" borderId="1" xfId="0" applyFont="1" applyFill="1" applyBorder="1" applyAlignment="1" applyProtection="1">
      <alignment horizontal="left" vertical="center" shrinkToFit="1"/>
      <protection locked="0"/>
    </xf>
    <xf numFmtId="0" fontId="27" fillId="33" borderId="2" xfId="0" applyFont="1" applyFill="1" applyBorder="1" applyAlignment="1" applyProtection="1">
      <alignment horizontal="left" vertical="center" shrinkToFit="1"/>
      <protection locked="0"/>
    </xf>
    <xf numFmtId="0" fontId="27" fillId="33" borderId="62" xfId="0" applyFont="1" applyFill="1" applyBorder="1" applyAlignment="1" applyProtection="1">
      <alignment horizontal="left" vertical="center" shrinkToFit="1"/>
      <protection locked="0"/>
    </xf>
    <xf numFmtId="0" fontId="22" fillId="4" borderId="93" xfId="2" applyFont="1" applyFill="1" applyBorder="1" applyAlignment="1" applyProtection="1">
      <alignment horizontal="center" vertical="center" wrapText="1" shrinkToFit="1"/>
      <protection locked="0"/>
    </xf>
    <xf numFmtId="0" fontId="22" fillId="4" borderId="156" xfId="2" applyFont="1" applyFill="1" applyBorder="1" applyAlignment="1" applyProtection="1">
      <alignment horizontal="center" vertical="center" wrapText="1" shrinkToFit="1"/>
      <protection locked="0"/>
    </xf>
    <xf numFmtId="3" fontId="37" fillId="5" borderId="156" xfId="2" applyNumberFormat="1" applyFont="1" applyFill="1" applyBorder="1" applyAlignment="1">
      <alignment horizontal="right" vertical="center" shrinkToFit="1"/>
    </xf>
    <xf numFmtId="3" fontId="37" fillId="5" borderId="33" xfId="2" applyNumberFormat="1" applyFont="1" applyFill="1" applyBorder="1" applyAlignment="1">
      <alignment horizontal="right" vertical="center" shrinkToFit="1"/>
    </xf>
    <xf numFmtId="0" fontId="22" fillId="4" borderId="22" xfId="2" applyFont="1" applyFill="1" applyBorder="1" applyAlignment="1" applyProtection="1">
      <alignment horizontal="center" vertical="center" shrinkToFit="1"/>
      <protection locked="0"/>
    </xf>
    <xf numFmtId="0" fontId="22" fillId="4" borderId="156" xfId="2" applyFont="1" applyFill="1" applyBorder="1" applyAlignment="1" applyProtection="1">
      <alignment horizontal="center" vertical="center" shrinkToFit="1"/>
      <protection locked="0"/>
    </xf>
    <xf numFmtId="0" fontId="22" fillId="4" borderId="119" xfId="2" applyFont="1" applyFill="1" applyBorder="1" applyAlignment="1" applyProtection="1">
      <alignment horizontal="center" vertical="center" shrinkToFit="1"/>
      <protection locked="0"/>
    </xf>
    <xf numFmtId="0" fontId="32" fillId="4" borderId="49" xfId="2" applyFont="1" applyFill="1" applyBorder="1" applyAlignment="1" applyProtection="1">
      <alignment horizontal="center" vertical="center" shrinkToFit="1"/>
      <protection locked="0"/>
    </xf>
    <xf numFmtId="0" fontId="29" fillId="4" borderId="148" xfId="2" applyFont="1" applyFill="1" applyBorder="1" applyAlignment="1" applyProtection="1">
      <alignment horizontal="center" vertical="center" shrinkToFit="1"/>
      <protection locked="0"/>
    </xf>
    <xf numFmtId="0" fontId="22" fillId="4" borderId="152" xfId="2" applyFont="1" applyFill="1" applyBorder="1" applyAlignment="1" applyProtection="1">
      <alignment horizontal="center" vertical="center" wrapText="1" shrinkToFit="1"/>
      <protection locked="0"/>
    </xf>
    <xf numFmtId="0" fontId="22" fillId="4" borderId="121" xfId="2" applyFont="1" applyFill="1" applyBorder="1" applyAlignment="1" applyProtection="1">
      <alignment horizontal="center" vertical="center" wrapText="1" shrinkToFit="1"/>
      <protection locked="0"/>
    </xf>
    <xf numFmtId="3" fontId="23" fillId="0" borderId="12" xfId="2" applyNumberFormat="1" applyFont="1" applyBorder="1" applyAlignment="1" applyProtection="1">
      <alignment horizontal="right" vertical="center" shrinkToFit="1"/>
      <protection locked="0"/>
    </xf>
    <xf numFmtId="3" fontId="23" fillId="0" borderId="55" xfId="2" applyNumberFormat="1" applyFont="1" applyBorder="1" applyAlignment="1" applyProtection="1">
      <alignment horizontal="right" vertical="center" shrinkToFit="1"/>
      <protection locked="0"/>
    </xf>
    <xf numFmtId="0" fontId="22" fillId="4" borderId="58" xfId="2" applyFont="1" applyFill="1" applyBorder="1" applyAlignment="1" applyProtection="1">
      <alignment horizontal="center" vertical="center" shrinkToFit="1"/>
      <protection locked="0"/>
    </xf>
    <xf numFmtId="0" fontId="22" fillId="4" borderId="121" xfId="2" applyFont="1" applyFill="1" applyBorder="1" applyAlignment="1" applyProtection="1">
      <alignment horizontal="center" vertical="center" shrinkToFit="1"/>
      <protection locked="0"/>
    </xf>
    <xf numFmtId="0" fontId="22" fillId="4" borderId="153" xfId="2" applyFont="1" applyFill="1" applyBorder="1" applyAlignment="1" applyProtection="1">
      <alignment horizontal="center" vertical="center" shrinkToFit="1"/>
      <protection locked="0"/>
    </xf>
    <xf numFmtId="0" fontId="22" fillId="4" borderId="154" xfId="2" applyFont="1" applyFill="1" applyBorder="1" applyAlignment="1" applyProtection="1">
      <alignment horizontal="center" vertical="center" wrapText="1" shrinkToFit="1"/>
      <protection locked="0"/>
    </xf>
    <xf numFmtId="0" fontId="22" fillId="4" borderId="130" xfId="2" applyFont="1" applyFill="1" applyBorder="1" applyAlignment="1" applyProtection="1">
      <alignment horizontal="center" vertical="center" wrapText="1" shrinkToFit="1"/>
      <protection locked="0"/>
    </xf>
    <xf numFmtId="3" fontId="23" fillId="0" borderId="3" xfId="2" applyNumberFormat="1" applyFont="1" applyBorder="1" applyAlignment="1" applyProtection="1">
      <alignment horizontal="right" vertical="center" shrinkToFit="1"/>
      <protection locked="0"/>
    </xf>
    <xf numFmtId="3" fontId="23" fillId="0" borderId="139" xfId="2" applyNumberFormat="1" applyFont="1" applyBorder="1" applyAlignment="1" applyProtection="1">
      <alignment horizontal="right" vertical="center" shrinkToFit="1"/>
      <protection locked="0"/>
    </xf>
    <xf numFmtId="0" fontId="22" fillId="4" borderId="59" xfId="2" applyFont="1" applyFill="1" applyBorder="1" applyAlignment="1" applyProtection="1">
      <alignment horizontal="center" vertical="center" shrinkToFit="1"/>
      <protection locked="0"/>
    </xf>
    <xf numFmtId="0" fontId="22" fillId="4" borderId="130" xfId="2" applyFont="1" applyFill="1" applyBorder="1" applyAlignment="1" applyProtection="1">
      <alignment horizontal="center" vertical="center" shrinkToFit="1"/>
      <protection locked="0"/>
    </xf>
    <xf numFmtId="0" fontId="22" fillId="4" borderId="155" xfId="2" applyFont="1" applyFill="1" applyBorder="1" applyAlignment="1" applyProtection="1">
      <alignment horizontal="center" vertical="center" shrinkToFit="1"/>
      <protection locked="0"/>
    </xf>
    <xf numFmtId="0" fontId="22" fillId="4" borderId="81" xfId="2" applyFont="1" applyFill="1" applyBorder="1" applyAlignment="1" applyProtection="1">
      <alignment horizontal="center" vertical="center"/>
      <protection locked="0"/>
    </xf>
    <xf numFmtId="0" fontId="22" fillId="4" borderId="128" xfId="2" applyFont="1" applyFill="1" applyBorder="1" applyAlignment="1" applyProtection="1">
      <alignment horizontal="center" vertical="center"/>
      <protection locked="0"/>
    </xf>
    <xf numFmtId="0" fontId="22" fillId="4" borderId="69" xfId="2" applyFont="1" applyFill="1" applyBorder="1" applyAlignment="1" applyProtection="1">
      <alignment horizontal="center" vertical="center"/>
      <protection locked="0"/>
    </xf>
    <xf numFmtId="0" fontId="22" fillId="4" borderId="47" xfId="2" applyFont="1" applyFill="1" applyBorder="1" applyAlignment="1" applyProtection="1">
      <alignment horizontal="center" vertical="center"/>
      <protection locked="0"/>
    </xf>
    <xf numFmtId="0" fontId="22" fillId="4" borderId="70" xfId="2" applyFont="1" applyFill="1" applyBorder="1" applyAlignment="1" applyProtection="1">
      <alignment horizontal="center" vertical="center"/>
      <protection locked="0"/>
    </xf>
    <xf numFmtId="0" fontId="22" fillId="4" borderId="71" xfId="2" applyFont="1" applyFill="1" applyBorder="1" applyAlignment="1" applyProtection="1">
      <alignment horizontal="center" vertical="center"/>
      <protection locked="0"/>
    </xf>
    <xf numFmtId="0" fontId="22" fillId="4" borderId="123" xfId="2" applyFont="1" applyFill="1" applyBorder="1" applyAlignment="1" applyProtection="1">
      <alignment horizontal="center" vertical="center"/>
      <protection locked="0"/>
    </xf>
    <xf numFmtId="0" fontId="22" fillId="4" borderId="116" xfId="2" applyFont="1" applyFill="1" applyBorder="1" applyAlignment="1" applyProtection="1">
      <alignment horizontal="center" vertical="center"/>
      <protection locked="0"/>
    </xf>
    <xf numFmtId="0" fontId="22" fillId="4" borderId="118" xfId="2" applyFont="1" applyFill="1" applyBorder="1" applyAlignment="1" applyProtection="1">
      <alignment horizontal="center" vertical="center"/>
      <protection locked="0"/>
    </xf>
    <xf numFmtId="0" fontId="34" fillId="30" borderId="6" xfId="2" applyFont="1" applyFill="1" applyBorder="1" applyAlignment="1" applyProtection="1">
      <alignment horizontal="left" vertical="center"/>
      <protection locked="0"/>
    </xf>
    <xf numFmtId="0" fontId="34" fillId="30" borderId="0" xfId="2" applyFont="1" applyFill="1" applyAlignment="1" applyProtection="1">
      <alignment horizontal="left" vertical="center"/>
      <protection locked="0"/>
    </xf>
    <xf numFmtId="0" fontId="22" fillId="4" borderId="149" xfId="2" applyFont="1" applyFill="1" applyBorder="1" applyAlignment="1" applyProtection="1">
      <alignment horizontal="center" vertical="center" wrapText="1" shrinkToFit="1"/>
      <protection locked="0"/>
    </xf>
    <xf numFmtId="0" fontId="22" fillId="4" borderId="150" xfId="2" applyFont="1" applyFill="1" applyBorder="1" applyAlignment="1" applyProtection="1">
      <alignment horizontal="center" vertical="center" wrapText="1" shrinkToFit="1"/>
      <protection locked="0"/>
    </xf>
    <xf numFmtId="3" fontId="23" fillId="0" borderId="150" xfId="2" applyNumberFormat="1" applyFont="1" applyBorder="1" applyAlignment="1" applyProtection="1">
      <alignment horizontal="right" vertical="center" shrinkToFit="1"/>
      <protection locked="0"/>
    </xf>
    <xf numFmtId="3" fontId="23" fillId="0" borderId="65" xfId="2" applyNumberFormat="1" applyFont="1" applyBorder="1" applyAlignment="1" applyProtection="1">
      <alignment horizontal="right" vertical="center" shrinkToFit="1"/>
      <protection locked="0"/>
    </xf>
    <xf numFmtId="0" fontId="22" fillId="4" borderId="74" xfId="2" applyFont="1" applyFill="1" applyBorder="1" applyAlignment="1" applyProtection="1">
      <alignment horizontal="center" vertical="center" shrinkToFit="1"/>
      <protection locked="0"/>
    </xf>
    <xf numFmtId="0" fontId="22" fillId="4" borderId="150" xfId="2" applyFont="1" applyFill="1" applyBorder="1" applyAlignment="1" applyProtection="1">
      <alignment horizontal="center" vertical="center" shrinkToFit="1"/>
      <protection locked="0"/>
    </xf>
    <xf numFmtId="0" fontId="22" fillId="4" borderId="151" xfId="2" applyFont="1" applyFill="1" applyBorder="1" applyAlignment="1" applyProtection="1">
      <alignment horizontal="center" vertical="center" shrinkToFit="1"/>
      <protection locked="0"/>
    </xf>
    <xf numFmtId="0" fontId="22" fillId="4" borderId="84"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wrapText="1"/>
      <protection locked="0"/>
    </xf>
    <xf numFmtId="0" fontId="22" fillId="4" borderId="89" xfId="2" applyFont="1" applyFill="1" applyBorder="1" applyAlignment="1" applyProtection="1">
      <alignment horizontal="center" vertical="center" wrapText="1"/>
      <protection locked="0"/>
    </xf>
    <xf numFmtId="0" fontId="22" fillId="4" borderId="86" xfId="2" applyFont="1" applyFill="1" applyBorder="1" applyAlignment="1" applyProtection="1">
      <alignment horizontal="center" vertical="center"/>
      <protection locked="0"/>
    </xf>
    <xf numFmtId="0" fontId="22" fillId="4" borderId="89" xfId="2" applyFont="1" applyFill="1" applyBorder="1" applyAlignment="1" applyProtection="1">
      <alignment horizontal="center" vertical="center"/>
      <protection locked="0"/>
    </xf>
    <xf numFmtId="3" fontId="22" fillId="5" borderId="99" xfId="2" applyNumberFormat="1" applyFont="1" applyFill="1" applyBorder="1" applyAlignment="1">
      <alignment horizontal="right" vertical="center"/>
    </xf>
    <xf numFmtId="3" fontId="22" fillId="5" borderId="50" xfId="2" applyNumberFormat="1" applyFont="1" applyFill="1" applyBorder="1" applyAlignment="1">
      <alignment horizontal="right" vertical="center"/>
    </xf>
    <xf numFmtId="0" fontId="29" fillId="4" borderId="11" xfId="2" applyFont="1" applyFill="1" applyBorder="1" applyAlignment="1" applyProtection="1">
      <alignment vertical="top" wrapText="1"/>
      <protection locked="0"/>
    </xf>
    <xf numFmtId="0" fontId="31" fillId="4" borderId="52" xfId="2" applyFont="1" applyFill="1" applyBorder="1" applyAlignment="1" applyProtection="1">
      <alignment horizontal="center" vertical="center"/>
      <protection locked="0"/>
    </xf>
    <xf numFmtId="0" fontId="31" fillId="4" borderId="54" xfId="2" applyFont="1" applyFill="1" applyBorder="1" applyAlignment="1" applyProtection="1">
      <alignment horizontal="center" vertical="center"/>
      <protection locked="0"/>
    </xf>
    <xf numFmtId="0" fontId="31" fillId="4" borderId="46" xfId="2" applyFont="1" applyFill="1" applyBorder="1" applyAlignment="1" applyProtection="1">
      <alignment horizontal="center" vertical="center"/>
      <protection locked="0"/>
    </xf>
    <xf numFmtId="0" fontId="31" fillId="4" borderId="20" xfId="2" applyFont="1" applyFill="1" applyBorder="1" applyAlignment="1" applyProtection="1">
      <alignment horizontal="center" vertical="center"/>
      <protection locked="0"/>
    </xf>
    <xf numFmtId="0" fontId="31" fillId="4" borderId="21" xfId="2" applyFont="1" applyFill="1" applyBorder="1" applyAlignment="1" applyProtection="1">
      <alignment horizontal="center" vertical="center"/>
      <protection locked="0"/>
    </xf>
    <xf numFmtId="3" fontId="22" fillId="0" borderId="28" xfId="2" applyNumberFormat="1" applyFont="1" applyBorder="1" applyAlignment="1" applyProtection="1">
      <alignment horizontal="right" vertical="center"/>
      <protection locked="0"/>
    </xf>
    <xf numFmtId="3" fontId="22" fillId="0" borderId="20" xfId="2" applyNumberFormat="1" applyFont="1" applyBorder="1" applyAlignment="1" applyProtection="1">
      <alignment horizontal="right" vertical="center"/>
      <protection locked="0"/>
    </xf>
    <xf numFmtId="3" fontId="22" fillId="0" borderId="29" xfId="2" applyNumberFormat="1" applyFont="1" applyBorder="1" applyAlignment="1" applyProtection="1">
      <alignment horizontal="right" vertical="center"/>
      <protection locked="0"/>
    </xf>
    <xf numFmtId="3" fontId="22" fillId="0" borderId="42" xfId="2" applyNumberFormat="1" applyFont="1" applyBorder="1" applyAlignment="1" applyProtection="1">
      <alignment horizontal="right" vertical="center"/>
      <protection locked="0"/>
    </xf>
    <xf numFmtId="0" fontId="30" fillId="0" borderId="6" xfId="2" applyFont="1" applyBorder="1" applyAlignment="1" applyProtection="1">
      <alignment horizontal="center" vertical="top" wrapText="1"/>
      <protection locked="0"/>
    </xf>
    <xf numFmtId="0" fontId="30" fillId="0" borderId="0" xfId="2" applyFont="1" applyAlignment="1" applyProtection="1">
      <alignment horizontal="center" vertical="top" wrapText="1"/>
      <protection locked="0"/>
    </xf>
    <xf numFmtId="0" fontId="30" fillId="0" borderId="9" xfId="2" applyFont="1" applyBorder="1" applyAlignment="1" applyProtection="1">
      <alignment horizontal="center" vertical="top" wrapText="1"/>
      <protection locked="0"/>
    </xf>
    <xf numFmtId="0" fontId="30" fillId="0" borderId="32" xfId="2" applyFont="1" applyBorder="1" applyAlignment="1" applyProtection="1">
      <alignment horizontal="center" vertical="top" wrapText="1"/>
      <protection locked="0"/>
    </xf>
    <xf numFmtId="0" fontId="30" fillId="0" borderId="5" xfId="2" applyFont="1" applyBorder="1" applyAlignment="1" applyProtection="1">
      <alignment horizontal="center" vertical="top" wrapText="1"/>
      <protection locked="0"/>
    </xf>
    <xf numFmtId="0" fontId="30" fillId="0" borderId="14" xfId="2" applyFont="1" applyBorder="1" applyAlignment="1" applyProtection="1">
      <alignment horizontal="center" vertical="top" wrapText="1"/>
      <protection locked="0"/>
    </xf>
    <xf numFmtId="0" fontId="28" fillId="2" borderId="127" xfId="2" applyFont="1" applyFill="1" applyBorder="1" applyAlignment="1" applyProtection="1">
      <alignment horizontal="center" vertical="center"/>
      <protection locked="0"/>
    </xf>
    <xf numFmtId="3" fontId="22" fillId="0" borderId="82" xfId="2" applyNumberFormat="1" applyFont="1" applyBorder="1" applyAlignment="1" applyProtection="1">
      <alignment horizontal="right" vertical="center"/>
      <protection locked="0"/>
    </xf>
    <xf numFmtId="3" fontId="22" fillId="0" borderId="43" xfId="2" applyNumberFormat="1" applyFont="1" applyBorder="1" applyAlignment="1" applyProtection="1">
      <alignment horizontal="right" vertical="center"/>
      <protection locked="0"/>
    </xf>
    <xf numFmtId="3" fontId="22" fillId="0" borderId="3" xfId="2" applyNumberFormat="1" applyFont="1" applyBorder="1" applyAlignment="1" applyProtection="1">
      <alignment horizontal="right" vertical="center"/>
      <protection locked="0"/>
    </xf>
    <xf numFmtId="3" fontId="22" fillId="0" borderId="139" xfId="2" applyNumberFormat="1" applyFont="1" applyBorder="1" applyAlignment="1" applyProtection="1">
      <alignment horizontal="right" vertical="center"/>
      <protection locked="0"/>
    </xf>
    <xf numFmtId="0" fontId="20" fillId="0" borderId="6" xfId="2" applyFont="1" applyBorder="1" applyAlignment="1">
      <alignment horizontal="left" vertical="center" wrapText="1"/>
    </xf>
    <xf numFmtId="0" fontId="28" fillId="4" borderId="125" xfId="2" applyFont="1" applyFill="1" applyBorder="1" applyAlignment="1" applyProtection="1">
      <alignment horizontal="distributed" vertical="center"/>
      <protection locked="0"/>
    </xf>
    <xf numFmtId="0" fontId="28" fillId="4" borderId="90" xfId="2" applyFont="1" applyFill="1" applyBorder="1" applyAlignment="1" applyProtection="1">
      <alignment horizontal="center" vertical="center" shrinkToFit="1"/>
      <protection locked="0"/>
    </xf>
    <xf numFmtId="0" fontId="28" fillId="4" borderId="91" xfId="2" applyFont="1" applyFill="1" applyBorder="1" applyAlignment="1" applyProtection="1">
      <alignment horizontal="center" vertical="center" shrinkToFit="1"/>
      <protection locked="0"/>
    </xf>
    <xf numFmtId="0" fontId="30" fillId="0" borderId="6" xfId="2" applyFont="1" applyBorder="1" applyAlignment="1" applyProtection="1">
      <alignment horizontal="left" vertical="top" wrapText="1"/>
      <protection locked="0"/>
    </xf>
    <xf numFmtId="0" fontId="30" fillId="0" borderId="0" xfId="2" applyFont="1" applyAlignment="1" applyProtection="1">
      <alignment horizontal="left" vertical="top" wrapText="1"/>
      <protection locked="0"/>
    </xf>
    <xf numFmtId="0" fontId="30" fillId="0" borderId="9" xfId="2" applyFont="1" applyBorder="1" applyAlignment="1" applyProtection="1">
      <alignment horizontal="left" vertical="top" wrapText="1"/>
      <protection locked="0"/>
    </xf>
    <xf numFmtId="0" fontId="28" fillId="4" borderId="121" xfId="2" applyFont="1" applyFill="1" applyBorder="1" applyAlignment="1" applyProtection="1">
      <alignment horizontal="distributed" vertical="center"/>
      <protection locked="0"/>
    </xf>
    <xf numFmtId="3" fontId="22" fillId="0" borderId="12" xfId="2" applyNumberFormat="1" applyFont="1" applyBorder="1" applyAlignment="1" applyProtection="1">
      <alignment horizontal="right" vertical="center"/>
      <protection locked="0"/>
    </xf>
    <xf numFmtId="3" fontId="22" fillId="0" borderId="55" xfId="2" applyNumberFormat="1" applyFont="1" applyBorder="1" applyAlignment="1" applyProtection="1">
      <alignment horizontal="right" vertical="center"/>
      <protection locked="0"/>
    </xf>
    <xf numFmtId="0" fontId="28" fillId="0" borderId="6" xfId="0" applyFont="1" applyBorder="1" applyAlignment="1" applyProtection="1">
      <alignment wrapText="1"/>
      <protection locked="0"/>
    </xf>
    <xf numFmtId="0" fontId="28" fillId="0" borderId="0" xfId="0" applyFont="1" applyAlignment="1" applyProtection="1">
      <alignment wrapText="1"/>
      <protection locked="0"/>
    </xf>
    <xf numFmtId="0" fontId="28" fillId="0" borderId="9" xfId="0" applyFont="1" applyBorder="1" applyAlignment="1" applyProtection="1">
      <alignment wrapText="1"/>
      <protection locked="0"/>
    </xf>
    <xf numFmtId="177" fontId="23" fillId="0" borderId="19" xfId="0" applyNumberFormat="1" applyFont="1" applyBorder="1" applyAlignment="1" applyProtection="1">
      <alignment horizontal="right" vertical="center" shrinkToFit="1"/>
      <protection locked="0"/>
    </xf>
    <xf numFmtId="177" fontId="23" fillId="0" borderId="20" xfId="0" applyNumberFormat="1" applyFont="1" applyBorder="1" applyAlignment="1" applyProtection="1">
      <alignment horizontal="right" vertical="center" shrinkToFit="1"/>
      <protection locked="0"/>
    </xf>
    <xf numFmtId="177" fontId="23" fillId="0" borderId="21" xfId="0" applyNumberFormat="1" applyFont="1" applyBorder="1" applyAlignment="1" applyProtection="1">
      <alignment horizontal="right" vertical="center" shrinkToFit="1"/>
      <protection locked="0"/>
    </xf>
    <xf numFmtId="177" fontId="23" fillId="0" borderId="16" xfId="0" applyNumberFormat="1" applyFont="1" applyBorder="1" applyAlignment="1" applyProtection="1">
      <alignment horizontal="right" vertical="center" shrinkToFit="1"/>
      <protection locked="0"/>
    </xf>
    <xf numFmtId="177" fontId="23" fillId="0" borderId="17" xfId="0" applyNumberFormat="1" applyFont="1" applyBorder="1" applyAlignment="1" applyProtection="1">
      <alignment horizontal="right" vertical="center" shrinkToFit="1"/>
      <protection locked="0"/>
    </xf>
    <xf numFmtId="177" fontId="23" fillId="0" borderId="18" xfId="0" applyNumberFormat="1" applyFont="1" applyBorder="1" applyAlignment="1" applyProtection="1">
      <alignment horizontal="right" vertical="center" shrinkToFit="1"/>
      <protection locked="0"/>
    </xf>
    <xf numFmtId="0" fontId="22" fillId="30" borderId="76" xfId="2" applyFont="1" applyFill="1" applyBorder="1" applyAlignment="1" applyProtection="1">
      <alignment horizontal="center" vertical="center"/>
      <protection locked="0"/>
    </xf>
    <xf numFmtId="0" fontId="22" fillId="30" borderId="77" xfId="2" applyFont="1" applyFill="1" applyBorder="1" applyAlignment="1" applyProtection="1">
      <alignment horizontal="center" vertical="center"/>
      <protection locked="0"/>
    </xf>
    <xf numFmtId="0" fontId="22" fillId="30" borderId="45" xfId="2" applyFont="1" applyFill="1" applyBorder="1" applyAlignment="1" applyProtection="1">
      <alignment horizontal="center" vertical="center"/>
      <protection locked="0"/>
    </xf>
    <xf numFmtId="0" fontId="22" fillId="4" borderId="70" xfId="2" applyFont="1" applyFill="1" applyBorder="1" applyAlignment="1" applyProtection="1">
      <alignment horizontal="center" vertical="center" textRotation="255" shrinkToFit="1"/>
      <protection locked="0"/>
    </xf>
    <xf numFmtId="0" fontId="22" fillId="4" borderId="28" xfId="2" applyFont="1" applyFill="1" applyBorder="1" applyAlignment="1" applyProtection="1">
      <alignment horizontal="center" vertical="center" textRotation="255" shrinkToFit="1"/>
      <protection locked="0"/>
    </xf>
    <xf numFmtId="0" fontId="28" fillId="4" borderId="71" xfId="2" applyFont="1" applyFill="1" applyBorder="1" applyAlignment="1" applyProtection="1">
      <alignment horizontal="distributed" vertical="center"/>
      <protection locked="0"/>
    </xf>
    <xf numFmtId="0" fontId="34" fillId="0" borderId="19" xfId="2" applyFont="1" applyBorder="1" applyAlignment="1" applyProtection="1">
      <alignment horizontal="center" vertical="center"/>
      <protection locked="0"/>
    </xf>
    <xf numFmtId="0" fontId="98" fillId="0" borderId="20" xfId="0" applyFont="1" applyBorder="1" applyAlignment="1" applyProtection="1">
      <alignment horizontal="center" vertical="center"/>
      <protection locked="0"/>
    </xf>
    <xf numFmtId="0" fontId="98" fillId="0" borderId="34" xfId="0" applyFont="1" applyBorder="1" applyAlignment="1" applyProtection="1">
      <alignment horizontal="center" vertical="center"/>
      <protection locked="0"/>
    </xf>
    <xf numFmtId="0" fontId="34" fillId="30" borderId="77" xfId="2" applyFont="1" applyFill="1" applyBorder="1" applyAlignment="1" applyProtection="1">
      <alignment horizontal="center" vertical="center"/>
      <protection locked="0"/>
    </xf>
    <xf numFmtId="0" fontId="34" fillId="30" borderId="44" xfId="2" applyFont="1" applyFill="1" applyBorder="1" applyAlignment="1" applyProtection="1">
      <alignment horizontal="center" vertical="center"/>
      <protection locked="0"/>
    </xf>
    <xf numFmtId="0" fontId="22" fillId="30" borderId="65" xfId="2" applyFont="1" applyFill="1" applyBorder="1" applyAlignment="1" applyProtection="1">
      <alignment horizontal="center" vertical="center"/>
      <protection locked="0"/>
    </xf>
    <xf numFmtId="0" fontId="22" fillId="30" borderId="11" xfId="2" applyFont="1" applyFill="1" applyBorder="1" applyAlignment="1" applyProtection="1">
      <alignment horizontal="center" vertical="center"/>
      <protection locked="0"/>
    </xf>
    <xf numFmtId="0" fontId="22" fillId="30" borderId="74" xfId="2" applyFont="1" applyFill="1" applyBorder="1" applyAlignment="1" applyProtection="1">
      <alignment horizontal="center" vertical="center"/>
      <protection locked="0"/>
    </xf>
    <xf numFmtId="0" fontId="22" fillId="30" borderId="78" xfId="2" applyFont="1" applyFill="1" applyBorder="1" applyAlignment="1" applyProtection="1">
      <alignment horizontal="center" vertical="center" shrinkToFit="1"/>
      <protection locked="0"/>
    </xf>
    <xf numFmtId="0" fontId="22" fillId="30" borderId="77" xfId="2" applyFont="1" applyFill="1" applyBorder="1" applyAlignment="1" applyProtection="1">
      <alignment horizontal="center" vertical="center" shrinkToFit="1"/>
      <protection locked="0"/>
    </xf>
    <xf numFmtId="0" fontId="22" fillId="30" borderId="44" xfId="2" applyFont="1" applyFill="1" applyBorder="1" applyAlignment="1" applyProtection="1">
      <alignment horizontal="center" vertical="center" shrinkToFit="1"/>
      <protection locked="0"/>
    </xf>
    <xf numFmtId="0" fontId="28" fillId="4" borderId="78" xfId="2" applyFont="1" applyFill="1" applyBorder="1" applyAlignment="1" applyProtection="1">
      <alignment horizontal="center" vertical="center"/>
      <protection locked="0"/>
    </xf>
    <xf numFmtId="0" fontId="28" fillId="4" borderId="77" xfId="2" applyFont="1" applyFill="1" applyBorder="1" applyAlignment="1" applyProtection="1">
      <alignment horizontal="center" vertical="center"/>
      <protection locked="0"/>
    </xf>
    <xf numFmtId="0" fontId="21" fillId="4" borderId="79" xfId="2" applyFont="1" applyFill="1" applyBorder="1" applyAlignment="1" applyProtection="1">
      <alignment horizontal="center" vertical="center"/>
      <protection locked="0"/>
    </xf>
    <xf numFmtId="0" fontId="21" fillId="4" borderId="50" xfId="2" applyFont="1" applyFill="1" applyBorder="1" applyAlignment="1" applyProtection="1">
      <alignment horizontal="center" vertical="center"/>
      <protection locked="0"/>
    </xf>
    <xf numFmtId="0" fontId="21" fillId="4" borderId="100" xfId="2" applyFont="1" applyFill="1" applyBorder="1" applyAlignment="1" applyProtection="1">
      <alignment horizontal="center" vertical="center"/>
      <protection locked="0"/>
    </xf>
    <xf numFmtId="3" fontId="22" fillId="5" borderId="99" xfId="0" applyNumberFormat="1" applyFont="1" applyFill="1" applyBorder="1" applyAlignment="1">
      <alignment horizontal="center" vertical="center" shrinkToFit="1"/>
    </xf>
    <xf numFmtId="3" fontId="22" fillId="5" borderId="50" xfId="0" applyNumberFormat="1" applyFont="1" applyFill="1" applyBorder="1" applyAlignment="1">
      <alignment horizontal="center" vertical="center" shrinkToFit="1"/>
    </xf>
    <xf numFmtId="0" fontId="22" fillId="30" borderId="12" xfId="2" applyFont="1" applyFill="1" applyBorder="1" applyAlignment="1" applyProtection="1">
      <alignment horizontal="center" vertical="center"/>
      <protection locked="0"/>
    </xf>
    <xf numFmtId="0" fontId="22" fillId="30" borderId="55" xfId="2" applyFont="1" applyFill="1" applyBorder="1" applyAlignment="1" applyProtection="1">
      <alignment horizontal="center" vertical="center"/>
      <protection locked="0"/>
    </xf>
    <xf numFmtId="0" fontId="22" fillId="30" borderId="58" xfId="2" applyFont="1" applyFill="1" applyBorder="1" applyAlignment="1" applyProtection="1">
      <alignment horizontal="center" vertical="center"/>
      <protection locked="0"/>
    </xf>
    <xf numFmtId="3" fontId="22" fillId="0" borderId="12" xfId="0" applyNumberFormat="1" applyFont="1" applyBorder="1" applyAlignment="1" applyProtection="1">
      <alignment horizontal="center" vertical="center"/>
      <protection locked="0"/>
    </xf>
    <xf numFmtId="3" fontId="22" fillId="0" borderId="55" xfId="0" applyNumberFormat="1" applyFont="1" applyBorder="1" applyAlignment="1" applyProtection="1">
      <alignment horizontal="center" vertical="center"/>
      <protection locked="0"/>
    </xf>
    <xf numFmtId="0" fontId="22" fillId="30" borderId="36" xfId="2" applyFont="1" applyFill="1" applyBorder="1" applyAlignment="1" applyProtection="1">
      <alignment horizontal="center" vertical="center"/>
      <protection locked="0"/>
    </xf>
    <xf numFmtId="0" fontId="22" fillId="30" borderId="60" xfId="2" applyFont="1" applyFill="1" applyBorder="1" applyAlignment="1" applyProtection="1">
      <alignment horizontal="center" vertical="center"/>
      <protection locked="0"/>
    </xf>
    <xf numFmtId="0" fontId="22" fillId="30" borderId="56" xfId="2" applyFont="1" applyFill="1" applyBorder="1" applyAlignment="1" applyProtection="1">
      <alignment horizontal="center" vertical="center"/>
      <protection locked="0"/>
    </xf>
    <xf numFmtId="3" fontId="22" fillId="0" borderId="36" xfId="0" applyNumberFormat="1" applyFont="1" applyBorder="1" applyAlignment="1" applyProtection="1">
      <alignment horizontal="center" vertical="center"/>
      <protection locked="0"/>
    </xf>
    <xf numFmtId="3" fontId="22" fillId="0" borderId="60" xfId="0" applyNumberFormat="1" applyFont="1" applyBorder="1" applyAlignment="1" applyProtection="1">
      <alignment horizontal="center" vertical="center"/>
      <protection locked="0"/>
    </xf>
    <xf numFmtId="0" fontId="22" fillId="30" borderId="17" xfId="2" applyFont="1" applyFill="1" applyBorder="1" applyAlignment="1" applyProtection="1">
      <alignment horizontal="center" vertical="center"/>
      <protection locked="0"/>
    </xf>
    <xf numFmtId="0" fontId="22" fillId="30" borderId="18" xfId="2" applyFont="1" applyFill="1" applyBorder="1" applyAlignment="1" applyProtection="1">
      <alignment horizontal="center" vertical="center"/>
      <protection locked="0"/>
    </xf>
    <xf numFmtId="3" fontId="22" fillId="0" borderId="67"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0" fontId="22" fillId="30" borderId="33" xfId="2" applyFont="1" applyFill="1" applyBorder="1" applyAlignment="1" applyProtection="1">
      <alignment horizontal="center" vertical="center"/>
      <protection locked="0"/>
    </xf>
    <xf numFmtId="0" fontId="22" fillId="30" borderId="5" xfId="2" applyFont="1" applyFill="1" applyBorder="1" applyAlignment="1" applyProtection="1">
      <alignment horizontal="center" vertical="center"/>
      <protection locked="0"/>
    </xf>
    <xf numFmtId="0" fontId="22" fillId="30" borderId="22" xfId="2" applyFont="1" applyFill="1" applyBorder="1" applyAlignment="1" applyProtection="1">
      <alignment horizontal="center" vertical="center"/>
      <protection locked="0"/>
    </xf>
    <xf numFmtId="3" fontId="22" fillId="0" borderId="33" xfId="0" applyNumberFormat="1" applyFont="1" applyBorder="1" applyAlignment="1" applyProtection="1">
      <alignment horizontal="center" vertical="center"/>
      <protection locked="0"/>
    </xf>
    <xf numFmtId="3" fontId="22" fillId="0" borderId="5" xfId="0" applyNumberFormat="1" applyFont="1" applyBorder="1" applyAlignment="1" applyProtection="1">
      <alignment horizontal="center" vertical="center"/>
      <protection locked="0"/>
    </xf>
    <xf numFmtId="0" fontId="22" fillId="30" borderId="87" xfId="2" applyFont="1" applyFill="1" applyBorder="1" applyAlignment="1" applyProtection="1">
      <alignment horizontal="center" vertical="center"/>
      <protection locked="0"/>
    </xf>
    <xf numFmtId="0" fontId="22" fillId="30" borderId="86" xfId="2" applyFont="1" applyFill="1" applyBorder="1" applyAlignment="1" applyProtection="1">
      <alignment horizontal="center" vertical="center"/>
      <protection locked="0"/>
    </xf>
    <xf numFmtId="0" fontId="22" fillId="30" borderId="89" xfId="2" applyFont="1" applyFill="1" applyBorder="1" applyAlignment="1" applyProtection="1">
      <alignment horizontal="center" vertical="center"/>
      <protection locked="0"/>
    </xf>
    <xf numFmtId="3" fontId="22" fillId="0" borderId="52" xfId="0" applyNumberFormat="1" applyFont="1" applyBorder="1" applyAlignment="1" applyProtection="1">
      <alignment horizontal="center" vertical="center"/>
      <protection locked="0"/>
    </xf>
    <xf numFmtId="3" fontId="22" fillId="0" borderId="54" xfId="0" applyNumberFormat="1" applyFont="1" applyBorder="1" applyAlignment="1" applyProtection="1">
      <alignment horizontal="center" vertical="center"/>
      <protection locked="0"/>
    </xf>
    <xf numFmtId="0" fontId="22" fillId="30" borderId="67" xfId="2" applyFont="1" applyFill="1" applyBorder="1" applyAlignment="1" applyProtection="1">
      <alignment horizontal="center" vertical="center"/>
      <protection locked="0"/>
    </xf>
    <xf numFmtId="0" fontId="22" fillId="30" borderId="70" xfId="2" applyFont="1" applyFill="1" applyBorder="1" applyAlignment="1" applyProtection="1">
      <alignment horizontal="center" vertical="center" textRotation="255"/>
      <protection locked="0"/>
    </xf>
    <xf numFmtId="0" fontId="22" fillId="30" borderId="72" xfId="2" applyFont="1" applyFill="1" applyBorder="1" applyAlignment="1" applyProtection="1">
      <alignment horizontal="center" vertical="center" textRotation="255"/>
      <protection locked="0"/>
    </xf>
    <xf numFmtId="0" fontId="22" fillId="30" borderId="93" xfId="2" applyFont="1" applyFill="1" applyBorder="1" applyAlignment="1" applyProtection="1">
      <alignment horizontal="center" vertical="center" textRotation="255"/>
      <protection locked="0"/>
    </xf>
    <xf numFmtId="0" fontId="22" fillId="30" borderId="1" xfId="2" applyFont="1" applyFill="1" applyBorder="1" applyAlignment="1" applyProtection="1">
      <alignment horizontal="center" vertical="center"/>
      <protection locked="0"/>
    </xf>
    <xf numFmtId="0" fontId="22" fillId="30" borderId="2" xfId="2" applyFont="1" applyFill="1" applyBorder="1" applyAlignment="1" applyProtection="1">
      <alignment horizontal="center" vertical="center"/>
      <protection locked="0"/>
    </xf>
    <xf numFmtId="0" fontId="22" fillId="30" borderId="62" xfId="2" applyFont="1" applyFill="1" applyBorder="1" applyAlignment="1" applyProtection="1">
      <alignment horizontal="center" vertical="center"/>
      <protection locked="0"/>
    </xf>
    <xf numFmtId="3" fontId="22" fillId="0" borderId="1" xfId="0" applyNumberFormat="1" applyFont="1" applyBorder="1" applyAlignment="1" applyProtection="1">
      <alignment horizontal="center" vertical="center"/>
      <protection locked="0"/>
    </xf>
    <xf numFmtId="3" fontId="22" fillId="0" borderId="2" xfId="0" applyNumberFormat="1" applyFont="1" applyBorder="1" applyAlignment="1" applyProtection="1">
      <alignment horizontal="center" vertical="center"/>
      <protection locked="0"/>
    </xf>
    <xf numFmtId="0" fontId="22" fillId="30" borderId="98" xfId="2" applyFont="1" applyFill="1" applyBorder="1" applyAlignment="1" applyProtection="1">
      <alignment horizontal="center" vertical="center" textRotation="255"/>
      <protection locked="0"/>
    </xf>
    <xf numFmtId="0" fontId="22" fillId="30" borderId="30"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protection locked="0"/>
    </xf>
    <xf numFmtId="0" fontId="22" fillId="30" borderId="49" xfId="2" applyFont="1" applyFill="1" applyBorder="1" applyAlignment="1" applyProtection="1">
      <alignment horizontal="center" vertical="center"/>
      <protection locked="0"/>
    </xf>
    <xf numFmtId="3" fontId="22" fillId="0" borderId="30" xfId="0" applyNumberFormat="1" applyFont="1" applyBorder="1" applyAlignment="1" applyProtection="1">
      <alignment horizontal="center" vertical="center"/>
      <protection locked="0"/>
    </xf>
    <xf numFmtId="3" fontId="22" fillId="0" borderId="0" xfId="0" applyNumberFormat="1" applyFont="1" applyAlignment="1" applyProtection="1">
      <alignment horizontal="center" vertical="center"/>
      <protection locked="0"/>
    </xf>
    <xf numFmtId="0" fontId="29" fillId="4" borderId="11" xfId="2" applyFont="1" applyFill="1" applyBorder="1" applyAlignment="1" applyProtection="1">
      <alignment horizontal="left" vertical="top" wrapText="1"/>
      <protection locked="0"/>
    </xf>
    <xf numFmtId="176" fontId="37" fillId="30" borderId="0" xfId="2" applyNumberFormat="1" applyFont="1" applyFill="1" applyAlignment="1" applyProtection="1">
      <alignment horizontal="center" vertical="center"/>
      <protection locked="0"/>
    </xf>
    <xf numFmtId="0" fontId="31" fillId="30" borderId="79" xfId="2" applyFont="1" applyFill="1" applyBorder="1" applyAlignment="1" applyProtection="1">
      <alignment horizontal="center" vertical="center" wrapText="1"/>
      <protection locked="0"/>
    </xf>
    <xf numFmtId="0" fontId="31" fillId="30" borderId="50" xfId="2" applyFont="1" applyFill="1" applyBorder="1" applyAlignment="1" applyProtection="1">
      <alignment horizontal="center" vertical="center" wrapText="1"/>
      <protection locked="0"/>
    </xf>
    <xf numFmtId="3" fontId="40" fillId="0" borderId="145" xfId="0" applyNumberFormat="1" applyFont="1" applyBorder="1" applyAlignment="1" applyProtection="1">
      <alignment horizontal="center" vertical="center"/>
      <protection locked="0"/>
    </xf>
    <xf numFmtId="3" fontId="40" fillId="0" borderId="50" xfId="0" applyNumberFormat="1" applyFont="1" applyBorder="1" applyAlignment="1" applyProtection="1">
      <alignment horizontal="center" vertical="center"/>
      <protection locked="0"/>
    </xf>
    <xf numFmtId="0" fontId="22" fillId="30" borderId="76" xfId="0" applyFont="1" applyFill="1" applyBorder="1" applyAlignment="1" applyProtection="1">
      <alignment horizontal="center" vertical="center"/>
      <protection locked="0"/>
    </xf>
    <xf numFmtId="0" fontId="22" fillId="30" borderId="77" xfId="0" applyFont="1" applyFill="1" applyBorder="1" applyAlignment="1" applyProtection="1">
      <alignment horizontal="center" vertical="center"/>
      <protection locked="0"/>
    </xf>
    <xf numFmtId="0" fontId="22" fillId="30" borderId="44" xfId="0" applyFont="1" applyFill="1" applyBorder="1" applyAlignment="1" applyProtection="1">
      <alignment horizontal="center" vertical="center"/>
      <protection locked="0"/>
    </xf>
    <xf numFmtId="0" fontId="22" fillId="30" borderId="78" xfId="0" applyFont="1" applyFill="1" applyBorder="1" applyAlignment="1" applyProtection="1">
      <alignment horizontal="center" vertical="center" wrapText="1"/>
      <protection locked="0"/>
    </xf>
    <xf numFmtId="0" fontId="22" fillId="30" borderId="45" xfId="0" applyFont="1" applyFill="1" applyBorder="1" applyAlignment="1" applyProtection="1">
      <alignment horizontal="center" vertical="center"/>
      <protection locked="0"/>
    </xf>
    <xf numFmtId="177" fontId="22" fillId="0" borderId="69" xfId="2" applyNumberFormat="1" applyFont="1" applyBorder="1" applyAlignment="1" applyProtection="1">
      <alignment horizontal="center" vertical="center"/>
      <protection locked="0"/>
    </xf>
    <xf numFmtId="177" fontId="22" fillId="0" borderId="47" xfId="2" applyNumberFormat="1" applyFont="1" applyBorder="1" applyAlignment="1" applyProtection="1">
      <alignment horizontal="center" vertical="center"/>
      <protection locked="0"/>
    </xf>
    <xf numFmtId="177" fontId="22" fillId="0" borderId="83" xfId="2" applyNumberFormat="1" applyFont="1" applyBorder="1" applyAlignment="1" applyProtection="1">
      <alignment horizontal="center" vertical="center"/>
      <protection locked="0"/>
    </xf>
    <xf numFmtId="177" fontId="22" fillId="0" borderId="64" xfId="2" applyNumberFormat="1" applyFont="1" applyBorder="1" applyAlignment="1" applyProtection="1">
      <alignment horizontal="center" vertical="center"/>
      <protection locked="0"/>
    </xf>
    <xf numFmtId="177" fontId="22" fillId="5" borderId="47" xfId="2" applyNumberFormat="1" applyFont="1" applyFill="1" applyBorder="1" applyAlignment="1">
      <alignment horizontal="center" vertical="center"/>
    </xf>
    <xf numFmtId="177" fontId="22" fillId="5" borderId="116" xfId="2" applyNumberFormat="1" applyFont="1" applyFill="1" applyBorder="1" applyAlignment="1">
      <alignment horizontal="center" vertical="center"/>
    </xf>
    <xf numFmtId="177" fontId="22" fillId="5" borderId="64" xfId="2" applyNumberFormat="1" applyFont="1" applyFill="1" applyBorder="1" applyAlignment="1">
      <alignment horizontal="center" vertical="center"/>
    </xf>
    <xf numFmtId="177" fontId="22" fillId="5" borderId="117" xfId="2" applyNumberFormat="1" applyFont="1" applyFill="1" applyBorder="1" applyAlignment="1">
      <alignment horizontal="center" vertical="center"/>
    </xf>
    <xf numFmtId="0" fontId="28" fillId="4" borderId="3" xfId="2" applyFont="1" applyFill="1" applyBorder="1" applyAlignment="1" applyProtection="1">
      <alignment horizontal="right" vertical="center"/>
      <protection locked="0"/>
    </xf>
    <xf numFmtId="0" fontId="28" fillId="4" borderId="138" xfId="2" applyFont="1" applyFill="1" applyBorder="1" applyAlignment="1" applyProtection="1">
      <alignment horizontal="right" vertical="center"/>
      <protection locked="0"/>
    </xf>
    <xf numFmtId="0" fontId="28" fillId="0" borderId="1" xfId="2" quotePrefix="1" applyFont="1" applyBorder="1" applyAlignment="1" applyProtection="1">
      <alignment horizontal="center" vertical="center" shrinkToFit="1"/>
      <protection locked="0"/>
    </xf>
    <xf numFmtId="0" fontId="28" fillId="0" borderId="2" xfId="2" quotePrefix="1" applyFont="1" applyBorder="1" applyAlignment="1" applyProtection="1">
      <alignment horizontal="center" vertical="center" shrinkToFit="1"/>
      <protection locked="0"/>
    </xf>
    <xf numFmtId="177" fontId="22" fillId="5" borderId="63" xfId="2" applyNumberFormat="1" applyFont="1" applyFill="1" applyBorder="1" applyAlignment="1">
      <alignment horizontal="center" vertical="center"/>
    </xf>
    <xf numFmtId="177" fontId="22" fillId="5" borderId="102" xfId="2" applyNumberFormat="1" applyFont="1" applyFill="1" applyBorder="1" applyAlignment="1">
      <alignment horizontal="center" vertical="center"/>
    </xf>
    <xf numFmtId="0" fontId="28" fillId="4" borderId="13" xfId="2" applyFont="1" applyFill="1" applyBorder="1" applyAlignment="1" applyProtection="1">
      <alignment horizontal="right" vertical="center"/>
      <protection locked="0"/>
    </xf>
    <xf numFmtId="0" fontId="28" fillId="4" borderId="38" xfId="2" applyFont="1" applyFill="1" applyBorder="1" applyAlignment="1" applyProtection="1">
      <alignment horizontal="right" vertical="center"/>
      <protection locked="0"/>
    </xf>
    <xf numFmtId="0" fontId="28" fillId="30" borderId="19" xfId="2" applyFont="1" applyFill="1" applyBorder="1" applyAlignment="1" applyProtection="1">
      <alignment horizontal="distributed" vertical="center" wrapText="1"/>
      <protection locked="0"/>
    </xf>
    <xf numFmtId="0" fontId="33" fillId="30" borderId="20" xfId="2" applyFont="1" applyFill="1" applyBorder="1" applyProtection="1">
      <alignment vertical="center"/>
      <protection locked="0"/>
    </xf>
    <xf numFmtId="0" fontId="33" fillId="30" borderId="16" xfId="2" applyFont="1" applyFill="1" applyBorder="1" applyProtection="1">
      <alignment vertical="center"/>
      <protection locked="0"/>
    </xf>
    <xf numFmtId="0" fontId="33" fillId="30" borderId="17" xfId="2" applyFont="1" applyFill="1" applyBorder="1" applyProtection="1">
      <alignment vertical="center"/>
      <protection locked="0"/>
    </xf>
    <xf numFmtId="0" fontId="28" fillId="30" borderId="6" xfId="2" applyFont="1" applyFill="1" applyBorder="1" applyAlignment="1" applyProtection="1">
      <alignment horizontal="distributed" vertical="center" wrapText="1"/>
      <protection locked="0"/>
    </xf>
    <xf numFmtId="0" fontId="33" fillId="30" borderId="0" xfId="2" applyFont="1" applyFill="1" applyProtection="1">
      <alignment vertical="center"/>
      <protection locked="0"/>
    </xf>
    <xf numFmtId="0" fontId="33" fillId="30" borderId="6" xfId="2" applyFont="1" applyFill="1" applyBorder="1" applyProtection="1">
      <alignment vertical="center"/>
      <protection locked="0"/>
    </xf>
    <xf numFmtId="0" fontId="22" fillId="30" borderId="70" xfId="2" applyFont="1" applyFill="1" applyBorder="1" applyAlignment="1" applyProtection="1">
      <alignment horizontal="center" vertical="center" textRotation="255" shrinkToFit="1"/>
      <protection locked="0"/>
    </xf>
    <xf numFmtId="0" fontId="22" fillId="30" borderId="72" xfId="2" applyFont="1" applyFill="1" applyBorder="1" applyAlignment="1" applyProtection="1">
      <alignment horizontal="center" vertical="center" textRotation="255" shrinkToFit="1"/>
      <protection locked="0"/>
    </xf>
    <xf numFmtId="0" fontId="22" fillId="30" borderId="93" xfId="2" applyFont="1" applyFill="1" applyBorder="1" applyAlignment="1" applyProtection="1">
      <alignment horizontal="center" vertical="center" textRotation="255" shrinkToFit="1"/>
      <protection locked="0"/>
    </xf>
    <xf numFmtId="0" fontId="28" fillId="0" borderId="2" xfId="2" applyFont="1" applyBorder="1" applyAlignment="1" applyProtection="1">
      <alignment horizontal="center" vertical="center" shrinkToFit="1"/>
      <protection locked="0"/>
    </xf>
    <xf numFmtId="177" fontId="22" fillId="0" borderId="63" xfId="2" applyNumberFormat="1" applyFont="1" applyBorder="1" applyAlignment="1" applyProtection="1">
      <alignment horizontal="center" vertical="center"/>
      <protection locked="0"/>
    </xf>
    <xf numFmtId="0" fontId="22" fillId="0" borderId="146" xfId="2" applyFont="1" applyBorder="1" applyAlignment="1" applyProtection="1">
      <alignment horizontal="center" vertical="center" shrinkToFit="1"/>
      <protection locked="0"/>
    </xf>
    <xf numFmtId="0" fontId="22" fillId="0" borderId="53" xfId="2" applyFont="1" applyBorder="1" applyAlignment="1" applyProtection="1">
      <alignment horizontal="center" vertical="center" shrinkToFit="1"/>
      <protection locked="0"/>
    </xf>
    <xf numFmtId="0" fontId="28" fillId="30" borderId="0" xfId="2" applyFont="1" applyFill="1" applyAlignment="1" applyProtection="1">
      <alignment horizontal="center" vertical="center" shrinkToFit="1"/>
      <protection locked="0"/>
    </xf>
    <xf numFmtId="0" fontId="22" fillId="0" borderId="32" xfId="2" applyFont="1" applyBorder="1" applyAlignment="1" applyProtection="1">
      <alignment horizontal="center" vertical="center" shrinkToFit="1"/>
      <protection locked="0"/>
    </xf>
    <xf numFmtId="0" fontId="22" fillId="0" borderId="14" xfId="2" applyFont="1" applyBorder="1" applyAlignment="1" applyProtection="1">
      <alignment horizontal="center" vertical="center" shrinkToFit="1"/>
      <protection locked="0"/>
    </xf>
    <xf numFmtId="0" fontId="22" fillId="30" borderId="6" xfId="2" applyFont="1" applyFill="1" applyBorder="1" applyAlignment="1" applyProtection="1">
      <alignment horizontal="distributed" vertical="center"/>
      <protection locked="0"/>
    </xf>
    <xf numFmtId="0" fontId="22" fillId="30" borderId="0" xfId="2" applyFont="1" applyFill="1" applyAlignment="1" applyProtection="1">
      <alignment horizontal="distributed" vertical="center"/>
      <protection locked="0"/>
    </xf>
    <xf numFmtId="0" fontId="22" fillId="30" borderId="16" xfId="2" applyFont="1" applyFill="1" applyBorder="1" applyAlignment="1" applyProtection="1">
      <alignment horizontal="distributed" vertical="center"/>
      <protection locked="0"/>
    </xf>
    <xf numFmtId="0" fontId="22" fillId="30" borderId="17" xfId="2" applyFont="1" applyFill="1" applyBorder="1" applyAlignment="1" applyProtection="1">
      <alignment horizontal="distributed" vertical="center"/>
      <protection locked="0"/>
    </xf>
    <xf numFmtId="177" fontId="22" fillId="0" borderId="98" xfId="2" applyNumberFormat="1" applyFont="1" applyBorder="1" applyAlignment="1" applyProtection="1">
      <alignment horizontal="center" vertical="center"/>
      <protection locked="0"/>
    </xf>
    <xf numFmtId="177" fontId="22" fillId="5" borderId="81" xfId="2" applyNumberFormat="1" applyFont="1" applyFill="1" applyBorder="1" applyAlignment="1">
      <alignment horizontal="center" vertical="center"/>
    </xf>
    <xf numFmtId="177" fontId="22" fillId="5" borderId="78" xfId="2" applyNumberFormat="1" applyFont="1" applyFill="1" applyBorder="1" applyAlignment="1">
      <alignment horizontal="center" vertical="center"/>
    </xf>
    <xf numFmtId="177" fontId="22" fillId="5" borderId="83" xfId="2" applyNumberFormat="1" applyFont="1" applyFill="1" applyBorder="1" applyAlignment="1">
      <alignment horizontal="center" vertical="center"/>
    </xf>
    <xf numFmtId="177" fontId="22" fillId="5" borderId="84" xfId="2" applyNumberFormat="1" applyFont="1" applyFill="1" applyBorder="1" applyAlignment="1">
      <alignment horizontal="center" vertical="center"/>
    </xf>
    <xf numFmtId="177" fontId="22" fillId="5" borderId="128" xfId="2" applyNumberFormat="1" applyFont="1" applyFill="1" applyBorder="1" applyAlignment="1">
      <alignment horizontal="center" vertical="center"/>
    </xf>
    <xf numFmtId="177" fontId="22" fillId="5" borderId="44" xfId="2" applyNumberFormat="1" applyFont="1" applyFill="1" applyBorder="1" applyAlignment="1">
      <alignment horizontal="center" vertical="center"/>
    </xf>
    <xf numFmtId="177" fontId="22" fillId="5" borderId="89" xfId="2" applyNumberFormat="1" applyFont="1" applyFill="1" applyBorder="1" applyAlignment="1">
      <alignment horizontal="center" vertical="center"/>
    </xf>
    <xf numFmtId="177" fontId="22" fillId="5" borderId="123" xfId="2" applyNumberFormat="1" applyFont="1" applyFill="1" applyBorder="1" applyAlignment="1">
      <alignment horizontal="center" vertical="center"/>
    </xf>
    <xf numFmtId="0" fontId="22" fillId="30" borderId="10" xfId="2" applyFont="1" applyFill="1" applyBorder="1" applyAlignment="1" applyProtection="1">
      <alignment horizontal="center" vertical="center"/>
      <protection locked="0"/>
    </xf>
    <xf numFmtId="0" fontId="22" fillId="30" borderId="57" xfId="2" applyFont="1" applyFill="1" applyBorder="1" applyAlignment="1" applyProtection="1">
      <alignment horizontal="center" vertical="center"/>
      <protection locked="0"/>
    </xf>
    <xf numFmtId="0" fontId="22" fillId="30" borderId="32" xfId="2" applyFont="1" applyFill="1" applyBorder="1" applyAlignment="1" applyProtection="1">
      <alignment horizontal="center" vertical="center"/>
      <protection locked="0"/>
    </xf>
    <xf numFmtId="0" fontId="22" fillId="30" borderId="14" xfId="2" applyFont="1" applyFill="1" applyBorder="1" applyAlignment="1" applyProtection="1">
      <alignment horizontal="center" vertical="center"/>
      <protection locked="0"/>
    </xf>
    <xf numFmtId="0" fontId="22" fillId="30" borderId="0" xfId="2" applyFont="1" applyFill="1" applyAlignment="1" applyProtection="1">
      <alignment horizontal="center" vertical="center" wrapText="1" shrinkToFit="1"/>
      <protection locked="0"/>
    </xf>
    <xf numFmtId="0" fontId="10" fillId="4" borderId="69" xfId="2" applyFont="1" applyFill="1" applyBorder="1" applyAlignment="1" applyProtection="1">
      <alignment horizontal="center" vertical="center" wrapText="1"/>
      <protection locked="0"/>
    </xf>
    <xf numFmtId="0" fontId="10" fillId="4" borderId="47" xfId="2" applyFont="1" applyFill="1" applyBorder="1" applyAlignment="1" applyProtection="1">
      <alignment horizontal="center" vertical="center" wrapText="1"/>
      <protection locked="0"/>
    </xf>
    <xf numFmtId="0" fontId="10" fillId="4" borderId="70" xfId="2" applyFont="1" applyFill="1" applyBorder="1" applyAlignment="1" applyProtection="1">
      <alignment horizontal="center" vertical="center" wrapText="1"/>
      <protection locked="0"/>
    </xf>
    <xf numFmtId="0" fontId="10" fillId="4" borderId="71" xfId="2" applyFont="1" applyFill="1" applyBorder="1" applyAlignment="1" applyProtection="1">
      <alignment horizontal="center" vertical="center" wrapText="1"/>
      <protection locked="0"/>
    </xf>
    <xf numFmtId="177" fontId="83" fillId="0" borderId="0" xfId="2" applyNumberFormat="1" applyFont="1" applyAlignment="1" applyProtection="1">
      <alignment horizontal="right" vertical="center" shrinkToFit="1"/>
      <protection locked="0"/>
    </xf>
    <xf numFmtId="0" fontId="86" fillId="26" borderId="0" xfId="2" applyFont="1" applyFill="1" applyAlignment="1" applyProtection="1">
      <alignment horizontal="left"/>
      <protection locked="0"/>
    </xf>
    <xf numFmtId="0" fontId="86" fillId="26" borderId="5" xfId="2" applyFont="1" applyFill="1" applyBorder="1" applyAlignment="1" applyProtection="1">
      <alignment horizontal="left"/>
      <protection locked="0"/>
    </xf>
    <xf numFmtId="0" fontId="86" fillId="30" borderId="0" xfId="2" applyFont="1" applyFill="1" applyAlignment="1" applyProtection="1">
      <alignment horizontal="left"/>
      <protection locked="0"/>
    </xf>
    <xf numFmtId="0" fontId="86" fillId="30" borderId="5" xfId="2" applyFont="1" applyFill="1" applyBorder="1" applyAlignment="1" applyProtection="1">
      <alignment horizontal="left"/>
      <protection locked="0"/>
    </xf>
    <xf numFmtId="0" fontId="86" fillId="30" borderId="9" xfId="2" applyFont="1" applyFill="1" applyBorder="1" applyAlignment="1" applyProtection="1">
      <alignment horizontal="left"/>
      <protection locked="0"/>
    </xf>
    <xf numFmtId="0" fontId="86" fillId="30" borderId="14" xfId="2" applyFont="1" applyFill="1" applyBorder="1" applyAlignment="1" applyProtection="1">
      <alignment horizontal="left"/>
      <protection locked="0"/>
    </xf>
    <xf numFmtId="0" fontId="29" fillId="4" borderId="11" xfId="2" applyFont="1" applyFill="1" applyBorder="1" applyAlignment="1" applyProtection="1">
      <alignment horizontal="left" vertical="center"/>
      <protection locked="0"/>
    </xf>
    <xf numFmtId="0" fontId="29" fillId="4" borderId="0" xfId="2" applyFont="1" applyFill="1" applyAlignment="1" applyProtection="1">
      <alignment horizontal="left" vertical="center"/>
      <protection locked="0"/>
    </xf>
    <xf numFmtId="0" fontId="10" fillId="4" borderId="116" xfId="2" applyFont="1" applyFill="1" applyBorder="1" applyAlignment="1" applyProtection="1">
      <alignment horizontal="center" vertical="center" wrapText="1"/>
      <protection locked="0"/>
    </xf>
    <xf numFmtId="0" fontId="10" fillId="4" borderId="118" xfId="2" applyFont="1" applyFill="1" applyBorder="1" applyAlignment="1" applyProtection="1">
      <alignment horizontal="center" vertical="center" wrapText="1"/>
      <protection locked="0"/>
    </xf>
    <xf numFmtId="0" fontId="38" fillId="32" borderId="0" xfId="2" applyFont="1" applyFill="1" applyAlignment="1" applyProtection="1">
      <alignment horizontal="center" vertical="center"/>
      <protection locked="0"/>
    </xf>
    <xf numFmtId="0" fontId="22" fillId="30" borderId="6" xfId="2" applyFont="1" applyFill="1" applyBorder="1" applyAlignment="1" applyProtection="1">
      <alignment horizontal="center" vertical="center"/>
      <protection locked="0"/>
    </xf>
    <xf numFmtId="0" fontId="22" fillId="30" borderId="76" xfId="2" applyFont="1" applyFill="1" applyBorder="1" applyAlignment="1" applyProtection="1">
      <alignment horizontal="center" vertical="center" shrinkToFit="1"/>
      <protection locked="0"/>
    </xf>
    <xf numFmtId="0" fontId="22" fillId="30" borderId="45" xfId="2" applyFont="1" applyFill="1" applyBorder="1" applyAlignment="1" applyProtection="1">
      <alignment horizontal="center" vertical="center" shrinkToFit="1"/>
      <protection locked="0"/>
    </xf>
    <xf numFmtId="0" fontId="22" fillId="4" borderId="0" xfId="2" applyFont="1" applyFill="1" applyAlignment="1" applyProtection="1">
      <alignment horizontal="center" vertical="center"/>
      <protection locked="0"/>
    </xf>
    <xf numFmtId="0" fontId="22" fillId="4" borderId="9" xfId="2" applyFont="1" applyFill="1" applyBorder="1" applyAlignment="1" applyProtection="1">
      <alignment horizontal="center" vertical="center"/>
      <protection locked="0"/>
    </xf>
    <xf numFmtId="0" fontId="44" fillId="4" borderId="0" xfId="2" applyFont="1" applyFill="1" applyAlignment="1" applyProtection="1">
      <alignment horizontal="left" vertical="top"/>
      <protection locked="0"/>
    </xf>
    <xf numFmtId="0" fontId="86" fillId="4" borderId="0" xfId="2" applyFont="1" applyFill="1" applyAlignment="1" applyProtection="1">
      <alignment horizontal="left" wrapText="1"/>
      <protection locked="0"/>
    </xf>
    <xf numFmtId="0" fontId="86" fillId="4" borderId="9" xfId="2" applyFont="1" applyFill="1" applyBorder="1" applyAlignment="1" applyProtection="1">
      <alignment horizontal="left" wrapText="1"/>
      <protection locked="0"/>
    </xf>
    <xf numFmtId="0" fontId="86" fillId="4" borderId="5" xfId="2" applyFont="1" applyFill="1" applyBorder="1" applyAlignment="1" applyProtection="1">
      <alignment horizontal="left" wrapText="1"/>
      <protection locked="0"/>
    </xf>
    <xf numFmtId="0" fontId="28" fillId="26" borderId="6" xfId="2" applyFont="1" applyFill="1" applyBorder="1" applyAlignment="1" applyProtection="1">
      <alignment horizontal="left" vertical="center" shrinkToFit="1"/>
      <protection locked="0"/>
    </xf>
    <xf numFmtId="0" fontId="28" fillId="26" borderId="0" xfId="2" applyFont="1" applyFill="1" applyAlignment="1" applyProtection="1">
      <alignment horizontal="left" vertical="center" shrinkToFit="1"/>
      <protection locked="0"/>
    </xf>
    <xf numFmtId="0" fontId="28" fillId="26"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shrinkToFit="1"/>
      <protection locked="0"/>
    </xf>
    <xf numFmtId="0" fontId="28" fillId="4" borderId="0" xfId="2" applyFont="1" applyFill="1" applyAlignment="1" applyProtection="1">
      <alignment horizontal="left" vertical="center" shrinkToFit="1"/>
      <protection locked="0"/>
    </xf>
    <xf numFmtId="0" fontId="28" fillId="4" borderId="9" xfId="2" applyFont="1" applyFill="1" applyBorder="1" applyAlignment="1" applyProtection="1">
      <alignment horizontal="left" vertical="center" shrinkToFit="1"/>
      <protection locked="0"/>
    </xf>
    <xf numFmtId="0" fontId="22" fillId="30" borderId="6" xfId="2" applyFont="1" applyFill="1" applyBorder="1" applyAlignment="1" applyProtection="1">
      <alignment horizontal="left" vertical="center" shrinkToFit="1"/>
      <protection locked="0"/>
    </xf>
    <xf numFmtId="0" fontId="22" fillId="30" borderId="9" xfId="2" applyFont="1" applyFill="1" applyBorder="1" applyAlignment="1" applyProtection="1">
      <alignment horizontal="left" vertical="center" shrinkToFit="1"/>
      <protection locked="0"/>
    </xf>
    <xf numFmtId="0" fontId="28" fillId="4" borderId="6" xfId="2" applyFont="1" applyFill="1" applyBorder="1" applyAlignment="1" applyProtection="1">
      <alignment horizontal="left" vertical="center" wrapText="1"/>
      <protection locked="0"/>
    </xf>
    <xf numFmtId="0" fontId="28" fillId="4" borderId="0" xfId="2" applyFont="1" applyFill="1" applyAlignment="1" applyProtection="1">
      <alignment horizontal="left" vertical="center" wrapText="1"/>
      <protection locked="0"/>
    </xf>
    <xf numFmtId="0" fontId="28" fillId="4" borderId="9" xfId="2" applyFont="1" applyFill="1" applyBorder="1" applyAlignment="1" applyProtection="1">
      <alignment horizontal="left" vertical="center" wrapText="1"/>
      <protection locked="0"/>
    </xf>
    <xf numFmtId="0" fontId="28" fillId="4" borderId="32" xfId="2" applyFont="1" applyFill="1" applyBorder="1" applyAlignment="1" applyProtection="1">
      <alignment horizontal="left" vertical="center" wrapText="1"/>
      <protection locked="0"/>
    </xf>
    <xf numFmtId="0" fontId="28" fillId="4" borderId="5" xfId="2" applyFont="1" applyFill="1" applyBorder="1" applyAlignment="1" applyProtection="1">
      <alignment horizontal="left" vertical="center" wrapText="1"/>
      <protection locked="0"/>
    </xf>
    <xf numFmtId="0" fontId="28" fillId="4" borderId="14" xfId="2" applyFont="1" applyFill="1" applyBorder="1" applyAlignment="1" applyProtection="1">
      <alignment horizontal="left" vertical="center" wrapText="1"/>
      <protection locked="0"/>
    </xf>
    <xf numFmtId="0" fontId="66" fillId="31" borderId="0" xfId="2" applyFont="1" applyFill="1" applyAlignment="1" applyProtection="1">
      <alignment horizontal="left" vertical="top" wrapText="1"/>
      <protection locked="0"/>
    </xf>
    <xf numFmtId="0" fontId="83" fillId="0" borderId="0" xfId="2" applyFont="1" applyAlignment="1" applyProtection="1">
      <alignment horizontal="center" vertical="center" shrinkToFit="1"/>
      <protection locked="0"/>
    </xf>
    <xf numFmtId="0" fontId="21" fillId="4" borderId="6" xfId="2" applyFont="1" applyFill="1" applyBorder="1" applyAlignment="1" applyProtection="1">
      <alignment horizontal="left" vertical="top"/>
      <protection locked="0"/>
    </xf>
    <xf numFmtId="0" fontId="21" fillId="4" borderId="0" xfId="2" applyFont="1" applyFill="1" applyAlignment="1" applyProtection="1">
      <alignment horizontal="left" vertical="top"/>
      <protection locked="0"/>
    </xf>
    <xf numFmtId="0" fontId="21" fillId="4" borderId="9" xfId="2" applyFont="1" applyFill="1" applyBorder="1" applyAlignment="1" applyProtection="1">
      <alignment horizontal="left" vertical="top"/>
      <protection locked="0"/>
    </xf>
    <xf numFmtId="0" fontId="83" fillId="0" borderId="0" xfId="2" applyFont="1" applyAlignment="1" applyProtection="1">
      <alignment horizontal="right" vertical="center"/>
      <protection locked="0"/>
    </xf>
    <xf numFmtId="0" fontId="22" fillId="4" borderId="6" xfId="2" applyFont="1" applyFill="1" applyBorder="1" applyAlignment="1" applyProtection="1">
      <alignment horizontal="left" vertical="top"/>
      <protection locked="0"/>
    </xf>
    <xf numFmtId="0" fontId="22" fillId="4" borderId="0" xfId="2" applyFont="1" applyFill="1" applyAlignment="1" applyProtection="1">
      <alignment horizontal="left" vertical="top"/>
      <protection locked="0"/>
    </xf>
    <xf numFmtId="0" fontId="22" fillId="4" borderId="9" xfId="2" applyFont="1" applyFill="1" applyBorder="1" applyAlignment="1" applyProtection="1">
      <alignment horizontal="left" vertical="top"/>
      <protection locked="0"/>
    </xf>
    <xf numFmtId="0" fontId="85" fillId="0" borderId="69" xfId="2" applyFont="1" applyBorder="1" applyAlignment="1" applyProtection="1">
      <alignment horizontal="center" vertical="center"/>
      <protection locked="0"/>
    </xf>
    <xf numFmtId="0" fontId="85" fillId="0" borderId="47" xfId="2" applyFont="1" applyBorder="1" applyAlignment="1" applyProtection="1">
      <alignment horizontal="center" vertical="center"/>
      <protection locked="0"/>
    </xf>
    <xf numFmtId="0" fontId="22" fillId="4" borderId="10" xfId="2" applyFont="1" applyFill="1" applyBorder="1" applyAlignment="1" applyProtection="1">
      <alignment horizontal="center" vertical="center" shrinkToFit="1"/>
      <protection locked="0"/>
    </xf>
    <xf numFmtId="0" fontId="22" fillId="4" borderId="11" xfId="2" applyFont="1" applyFill="1" applyBorder="1" applyAlignment="1" applyProtection="1">
      <alignment horizontal="center" vertical="center" shrinkToFit="1"/>
      <protection locked="0"/>
    </xf>
    <xf numFmtId="0" fontId="22" fillId="4" borderId="57" xfId="2" applyFont="1" applyFill="1" applyBorder="1" applyAlignment="1" applyProtection="1">
      <alignment horizontal="center" vertical="center" shrinkToFit="1"/>
      <protection locked="0"/>
    </xf>
    <xf numFmtId="0" fontId="22" fillId="26" borderId="10" xfId="2" applyFont="1" applyFill="1" applyBorder="1" applyAlignment="1" applyProtection="1">
      <alignment horizontal="center" vertical="center" wrapText="1" shrinkToFit="1"/>
      <protection locked="0"/>
    </xf>
    <xf numFmtId="0" fontId="22" fillId="26" borderId="11" xfId="2" applyFont="1" applyFill="1" applyBorder="1" applyAlignment="1" applyProtection="1">
      <alignment horizontal="center" vertical="center" wrapText="1" shrinkToFit="1"/>
      <protection locked="0"/>
    </xf>
    <xf numFmtId="0" fontId="22" fillId="26"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center" wrapText="1" shrinkToFit="1"/>
      <protection locked="0"/>
    </xf>
    <xf numFmtId="0" fontId="22" fillId="30" borderId="11" xfId="2" applyFont="1" applyFill="1" applyBorder="1" applyAlignment="1" applyProtection="1">
      <alignment horizontal="center" vertical="center" wrapText="1" shrinkToFit="1"/>
      <protection locked="0"/>
    </xf>
    <xf numFmtId="0" fontId="22" fillId="30" borderId="57" xfId="2" applyFont="1" applyFill="1" applyBorder="1" applyAlignment="1" applyProtection="1">
      <alignment horizontal="center" vertical="center" wrapText="1" shrinkToFit="1"/>
      <protection locked="0"/>
    </xf>
    <xf numFmtId="0" fontId="22" fillId="30" borderId="10" xfId="2" applyFont="1" applyFill="1" applyBorder="1" applyAlignment="1" applyProtection="1">
      <alignment horizontal="center" vertical="top" wrapText="1"/>
      <protection locked="0"/>
    </xf>
    <xf numFmtId="0" fontId="22" fillId="30" borderId="11" xfId="2" applyFont="1" applyFill="1" applyBorder="1" applyAlignment="1" applyProtection="1">
      <alignment horizontal="center" vertical="top" wrapText="1"/>
      <protection locked="0"/>
    </xf>
    <xf numFmtId="0" fontId="22" fillId="30" borderId="57" xfId="2" applyFont="1" applyFill="1" applyBorder="1" applyAlignment="1" applyProtection="1">
      <alignment horizontal="center" vertical="top" wrapText="1"/>
      <protection locked="0"/>
    </xf>
    <xf numFmtId="0" fontId="22" fillId="4" borderId="10" xfId="2" applyFont="1" applyFill="1" applyBorder="1" applyAlignment="1" applyProtection="1">
      <alignment horizontal="center" vertical="top" wrapText="1"/>
      <protection locked="0"/>
    </xf>
    <xf numFmtId="0" fontId="22" fillId="4" borderId="11" xfId="2" applyFont="1" applyFill="1" applyBorder="1" applyAlignment="1" applyProtection="1">
      <alignment horizontal="center" vertical="top" wrapText="1"/>
      <protection locked="0"/>
    </xf>
    <xf numFmtId="0" fontId="22" fillId="4" borderId="57" xfId="2" applyFont="1" applyFill="1" applyBorder="1" applyAlignment="1" applyProtection="1">
      <alignment horizontal="center" vertical="top" wrapText="1"/>
      <protection locked="0"/>
    </xf>
    <xf numFmtId="0" fontId="22" fillId="4" borderId="6" xfId="2" applyFont="1" applyFill="1" applyBorder="1" applyAlignment="1" applyProtection="1">
      <alignment horizontal="center" vertical="top" wrapText="1"/>
      <protection locked="0"/>
    </xf>
    <xf numFmtId="0" fontId="22" fillId="4" borderId="0" xfId="2" applyFont="1" applyFill="1" applyAlignment="1" applyProtection="1">
      <alignment horizontal="center" vertical="top" wrapText="1"/>
      <protection locked="0"/>
    </xf>
    <xf numFmtId="0" fontId="22" fillId="4" borderId="9" xfId="2" applyFont="1" applyFill="1" applyBorder="1" applyAlignment="1" applyProtection="1">
      <alignment horizontal="center" vertical="top" wrapText="1"/>
      <protection locked="0"/>
    </xf>
    <xf numFmtId="0" fontId="26" fillId="4" borderId="6" xfId="0" applyFont="1" applyFill="1" applyBorder="1" applyAlignment="1" applyProtection="1">
      <alignment horizontal="left" vertical="center" wrapText="1"/>
      <protection locked="0"/>
    </xf>
    <xf numFmtId="0" fontId="26" fillId="4" borderId="0" xfId="0" applyFont="1" applyFill="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66" fillId="31" borderId="0" xfId="0" applyFont="1" applyFill="1" applyAlignment="1" applyProtection="1">
      <alignment horizontal="left" vertical="top" wrapText="1"/>
      <protection locked="0"/>
    </xf>
    <xf numFmtId="0" fontId="22" fillId="4" borderId="79" xfId="2" applyFont="1" applyFill="1" applyBorder="1" applyAlignment="1" applyProtection="1">
      <alignment horizontal="center" vertical="center" wrapText="1"/>
      <protection locked="0"/>
    </xf>
    <xf numFmtId="0" fontId="22" fillId="4" borderId="50" xfId="2" applyFont="1" applyFill="1" applyBorder="1" applyAlignment="1" applyProtection="1">
      <alignment horizontal="center" vertical="center" wrapText="1"/>
      <protection locked="0"/>
    </xf>
    <xf numFmtId="0" fontId="22" fillId="4" borderId="144" xfId="2" applyFont="1" applyFill="1" applyBorder="1" applyAlignment="1" applyProtection="1">
      <alignment horizontal="center" vertical="center" wrapText="1"/>
      <protection locked="0"/>
    </xf>
    <xf numFmtId="0" fontId="22" fillId="4" borderId="50" xfId="2" applyFont="1" applyFill="1" applyBorder="1" applyAlignment="1" applyProtection="1">
      <alignment horizontal="center" vertical="center" shrinkToFit="1"/>
      <protection locked="0"/>
    </xf>
    <xf numFmtId="0" fontId="22" fillId="4" borderId="144" xfId="2" applyFont="1" applyFill="1" applyBorder="1" applyAlignment="1" applyProtection="1">
      <alignment horizontal="center" vertical="center" shrinkToFit="1"/>
      <protection locked="0"/>
    </xf>
    <xf numFmtId="0" fontId="9" fillId="4" borderId="5" xfId="2" applyFont="1" applyFill="1" applyBorder="1" applyAlignment="1" applyProtection="1">
      <alignment horizontal="left" vertical="center" wrapText="1"/>
      <protection locked="0"/>
    </xf>
    <xf numFmtId="0" fontId="59" fillId="4" borderId="79" xfId="2" applyFont="1" applyFill="1" applyBorder="1" applyAlignment="1" applyProtection="1">
      <alignment horizontal="center" vertical="center" wrapText="1"/>
      <protection locked="0"/>
    </xf>
    <xf numFmtId="0" fontId="59" fillId="4" borderId="41" xfId="2" applyFont="1" applyFill="1" applyBorder="1" applyAlignment="1" applyProtection="1">
      <alignment horizontal="center" vertical="center" wrapText="1"/>
      <protection locked="0"/>
    </xf>
    <xf numFmtId="0" fontId="42" fillId="4" borderId="10" xfId="2" applyFont="1" applyFill="1" applyBorder="1" applyAlignment="1" applyProtection="1">
      <alignment horizontal="left" vertical="center" wrapText="1"/>
      <protection locked="0"/>
    </xf>
    <xf numFmtId="0" fontId="42" fillId="4" borderId="11" xfId="2" applyFont="1" applyFill="1" applyBorder="1" applyAlignment="1" applyProtection="1">
      <alignment horizontal="left" vertical="center" wrapText="1"/>
      <protection locked="0"/>
    </xf>
    <xf numFmtId="0" fontId="42" fillId="4" borderId="57" xfId="2" applyFont="1" applyFill="1" applyBorder="1" applyAlignment="1" applyProtection="1">
      <alignment horizontal="left" vertical="center" wrapText="1"/>
      <protection locked="0"/>
    </xf>
    <xf numFmtId="0" fontId="42" fillId="4" borderId="32" xfId="2" applyFont="1" applyFill="1" applyBorder="1" applyAlignment="1" applyProtection="1">
      <alignment horizontal="left" vertical="center" wrapText="1"/>
      <protection locked="0"/>
    </xf>
    <xf numFmtId="0" fontId="42" fillId="4" borderId="5" xfId="2" applyFont="1" applyFill="1" applyBorder="1" applyAlignment="1" applyProtection="1">
      <alignment horizontal="left" vertical="center" wrapText="1"/>
      <protection locked="0"/>
    </xf>
    <xf numFmtId="0" fontId="42" fillId="4" borderId="14" xfId="2" applyFont="1" applyFill="1" applyBorder="1" applyAlignment="1" applyProtection="1">
      <alignment horizontal="left" vertical="center" wrapText="1"/>
      <protection locked="0"/>
    </xf>
    <xf numFmtId="0" fontId="21" fillId="0" borderId="79" xfId="2" applyFont="1" applyBorder="1" applyAlignment="1" applyProtection="1">
      <alignment horizontal="center" vertical="center" wrapText="1"/>
      <protection locked="0"/>
    </xf>
    <xf numFmtId="0" fontId="21" fillId="0" borderId="41" xfId="2" applyFont="1" applyBorder="1" applyAlignment="1" applyProtection="1">
      <alignment horizontal="center" vertical="center" wrapText="1"/>
      <protection locked="0"/>
    </xf>
    <xf numFmtId="0" fontId="22" fillId="4" borderId="6" xfId="2" applyFont="1" applyFill="1" applyBorder="1" applyAlignment="1" applyProtection="1">
      <alignment horizontal="center" vertical="center" wrapText="1"/>
      <protection locked="0"/>
    </xf>
    <xf numFmtId="0" fontId="36" fillId="4" borderId="0" xfId="0" applyFont="1" applyFill="1" applyAlignment="1" applyProtection="1">
      <alignment horizontal="center" vertical="center" wrapText="1"/>
      <protection locked="0"/>
    </xf>
    <xf numFmtId="0" fontId="36" fillId="4" borderId="68" xfId="0" applyFont="1" applyFill="1" applyBorder="1" applyAlignment="1" applyProtection="1">
      <alignment horizontal="center" vertical="center" wrapText="1"/>
      <protection locked="0"/>
    </xf>
    <xf numFmtId="0" fontId="22" fillId="4" borderId="141" xfId="2" applyFont="1" applyFill="1" applyBorder="1" applyAlignment="1" applyProtection="1">
      <alignment horizontal="center" vertical="center" wrapText="1" shrinkToFit="1"/>
      <protection locked="0"/>
    </xf>
    <xf numFmtId="0" fontId="36" fillId="4" borderId="139" xfId="0" applyFont="1" applyFill="1" applyBorder="1" applyAlignment="1" applyProtection="1">
      <alignment horizontal="center" vertical="center" shrinkToFit="1"/>
      <protection locked="0"/>
    </xf>
    <xf numFmtId="0" fontId="36" fillId="4" borderId="142" xfId="0" applyFont="1" applyFill="1" applyBorder="1" applyAlignment="1" applyProtection="1">
      <alignment horizontal="center" vertical="center" shrinkToFit="1"/>
      <protection locked="0"/>
    </xf>
    <xf numFmtId="0" fontId="22" fillId="4" borderId="48" xfId="2" applyFont="1" applyFill="1" applyBorder="1" applyAlignment="1" applyProtection="1">
      <alignment horizontal="center" vertical="center" shrinkToFit="1"/>
      <protection locked="0"/>
    </xf>
    <xf numFmtId="0" fontId="22" fillId="4" borderId="5" xfId="2" applyFont="1" applyFill="1" applyBorder="1" applyAlignment="1" applyProtection="1">
      <alignment horizontal="center" vertical="center" shrinkToFit="1"/>
      <protection locked="0"/>
    </xf>
    <xf numFmtId="0" fontId="22" fillId="4" borderId="75" xfId="2" applyFont="1" applyFill="1" applyBorder="1" applyAlignment="1" applyProtection="1">
      <alignment horizontal="center" vertical="center" shrinkToFit="1"/>
      <protection locked="0"/>
    </xf>
    <xf numFmtId="0" fontId="22" fillId="4" borderId="48" xfId="2" applyFont="1" applyFill="1" applyBorder="1" applyAlignment="1" applyProtection="1">
      <alignment horizontal="distributed" vertical="center" shrinkToFit="1"/>
      <protection locked="0"/>
    </xf>
    <xf numFmtId="0" fontId="22" fillId="4" borderId="5" xfId="2" applyFont="1" applyFill="1" applyBorder="1" applyAlignment="1" applyProtection="1">
      <alignment horizontal="distributed" vertical="center" shrinkToFit="1"/>
      <protection locked="0"/>
    </xf>
    <xf numFmtId="0" fontId="7" fillId="29" borderId="76" xfId="2" applyFont="1" applyFill="1" applyBorder="1" applyAlignment="1" applyProtection="1">
      <alignment horizontal="center" vertical="center"/>
      <protection locked="0"/>
    </xf>
    <xf numFmtId="0" fontId="7" fillId="29" borderId="77" xfId="2" applyFont="1" applyFill="1" applyBorder="1" applyAlignment="1" applyProtection="1">
      <alignment horizontal="center" vertical="center"/>
      <protection locked="0"/>
    </xf>
    <xf numFmtId="0" fontId="7" fillId="29" borderId="45" xfId="2" applyFont="1" applyFill="1" applyBorder="1" applyAlignment="1" applyProtection="1">
      <alignment horizontal="center" vertical="center"/>
      <protection locked="0"/>
    </xf>
    <xf numFmtId="0" fontId="64" fillId="0" borderId="6" xfId="2" applyFont="1" applyBorder="1" applyAlignment="1">
      <alignment horizontal="left" vertical="center" wrapText="1"/>
    </xf>
    <xf numFmtId="0" fontId="64" fillId="0" borderId="0" xfId="2" applyFont="1" applyAlignment="1">
      <alignment horizontal="left" vertical="center" wrapText="1"/>
    </xf>
    <xf numFmtId="0" fontId="64" fillId="0" borderId="9" xfId="2" applyFont="1" applyBorder="1" applyAlignment="1">
      <alignment horizontal="left" vertical="center" wrapText="1"/>
    </xf>
    <xf numFmtId="0" fontId="9" fillId="29" borderId="76" xfId="2" applyFont="1" applyFill="1" applyBorder="1" applyAlignment="1" applyProtection="1">
      <alignment horizontal="left"/>
      <protection locked="0"/>
    </xf>
    <xf numFmtId="0" fontId="9" fillId="29" borderId="77" xfId="2" applyFont="1" applyFill="1" applyBorder="1" applyAlignment="1" applyProtection="1">
      <alignment horizontal="left"/>
      <protection locked="0"/>
    </xf>
    <xf numFmtId="0" fontId="9" fillId="29" borderId="45" xfId="2" applyFont="1" applyFill="1" applyBorder="1" applyAlignment="1" applyProtection="1">
      <alignment horizontal="left"/>
      <protection locked="0"/>
    </xf>
    <xf numFmtId="0" fontId="56" fillId="4" borderId="6" xfId="0" applyFont="1" applyFill="1" applyBorder="1" applyAlignment="1" applyProtection="1">
      <alignment horizontal="center" vertical="center" shrinkToFit="1"/>
      <protection locked="0"/>
    </xf>
    <xf numFmtId="0" fontId="56" fillId="4" borderId="0" xfId="0" applyFont="1" applyFill="1" applyAlignment="1" applyProtection="1">
      <alignment horizontal="center" vertical="center" shrinkToFit="1"/>
      <protection locked="0"/>
    </xf>
    <xf numFmtId="0" fontId="56" fillId="4" borderId="68" xfId="0" applyFont="1" applyFill="1" applyBorder="1" applyAlignment="1" applyProtection="1">
      <alignment horizontal="center" vertical="center" shrinkToFit="1"/>
      <protection locked="0"/>
    </xf>
    <xf numFmtId="0" fontId="56" fillId="4" borderId="32" xfId="0" applyFont="1" applyFill="1" applyBorder="1" applyAlignment="1" applyProtection="1">
      <alignment horizontal="center" vertical="center" shrinkToFit="1"/>
      <protection locked="0"/>
    </xf>
    <xf numFmtId="0" fontId="56" fillId="4" borderId="5" xfId="0" applyFont="1" applyFill="1" applyBorder="1" applyAlignment="1" applyProtection="1">
      <alignment horizontal="center" vertical="center" shrinkToFit="1"/>
      <protection locked="0"/>
    </xf>
    <xf numFmtId="0" fontId="56" fillId="4" borderId="75" xfId="0" applyFont="1" applyFill="1" applyBorder="1" applyAlignment="1" applyProtection="1">
      <alignment horizontal="center" vertical="center" shrinkToFit="1"/>
      <protection locked="0"/>
    </xf>
    <xf numFmtId="0" fontId="22" fillId="4" borderId="7" xfId="2" applyFont="1" applyFill="1" applyBorder="1" applyAlignment="1" applyProtection="1">
      <alignment horizontal="distributed" vertical="center"/>
      <protection locked="0"/>
    </xf>
    <xf numFmtId="0" fontId="22" fillId="4" borderId="0" xfId="2" applyFont="1" applyFill="1" applyAlignment="1" applyProtection="1">
      <alignment horizontal="distributed" vertical="center"/>
      <protection locked="0"/>
    </xf>
    <xf numFmtId="0" fontId="22" fillId="4" borderId="73" xfId="2" applyFont="1" applyFill="1" applyBorder="1" applyAlignment="1" applyProtection="1">
      <alignment horizontal="center" vertical="center"/>
      <protection locked="0"/>
    </xf>
    <xf numFmtId="0" fontId="22" fillId="4" borderId="60" xfId="2" applyFont="1" applyFill="1" applyBorder="1" applyAlignment="1" applyProtection="1">
      <alignment horizontal="center" vertical="center"/>
      <protection locked="0"/>
    </xf>
    <xf numFmtId="0" fontId="22" fillId="4" borderId="61" xfId="2" applyFont="1" applyFill="1" applyBorder="1" applyAlignment="1" applyProtection="1">
      <alignment horizontal="center" vertical="center"/>
      <protection locked="0"/>
    </xf>
    <xf numFmtId="0" fontId="22" fillId="4" borderId="27" xfId="2" applyFont="1" applyFill="1" applyBorder="1" applyAlignment="1" applyProtection="1">
      <alignment horizontal="center" vertical="center" shrinkToFit="1"/>
      <protection locked="0"/>
    </xf>
    <xf numFmtId="0" fontId="22" fillId="4" borderId="55" xfId="2" applyFont="1" applyFill="1" applyBorder="1" applyAlignment="1" applyProtection="1">
      <alignment horizontal="center" vertical="center" shrinkToFit="1"/>
      <protection locked="0"/>
    </xf>
    <xf numFmtId="0" fontId="22" fillId="4" borderId="0" xfId="2" applyFont="1" applyFill="1" applyAlignment="1" applyProtection="1">
      <alignment horizontal="distributed" vertical="center" wrapText="1"/>
      <protection locked="0"/>
    </xf>
    <xf numFmtId="0" fontId="22" fillId="4" borderId="5" xfId="2" applyFont="1" applyFill="1" applyBorder="1" applyAlignment="1" applyProtection="1">
      <alignment horizontal="distributed" vertical="center"/>
      <protection locked="0"/>
    </xf>
    <xf numFmtId="0" fontId="7" fillId="19" borderId="32" xfId="2" applyFont="1" applyFill="1" applyBorder="1" applyAlignment="1" applyProtection="1">
      <alignment horizontal="center" vertical="center" wrapText="1"/>
      <protection locked="0"/>
    </xf>
    <xf numFmtId="0" fontId="7" fillId="19" borderId="5" xfId="2" applyFont="1" applyFill="1" applyBorder="1" applyAlignment="1" applyProtection="1">
      <alignment horizontal="center" vertical="center" wrapText="1"/>
      <protection locked="0"/>
    </xf>
    <xf numFmtId="0" fontId="7" fillId="19" borderId="14" xfId="2" applyFont="1" applyFill="1" applyBorder="1" applyAlignment="1" applyProtection="1">
      <alignment horizontal="center" vertical="center" wrapText="1"/>
      <protection locked="0"/>
    </xf>
    <xf numFmtId="0" fontId="80" fillId="4" borderId="11" xfId="2" applyFont="1" applyFill="1" applyBorder="1" applyAlignment="1">
      <alignment horizontal="center" vertical="center"/>
    </xf>
    <xf numFmtId="0" fontId="39" fillId="4" borderId="0" xfId="2" applyFont="1" applyFill="1" applyAlignment="1" applyProtection="1">
      <alignment horizontal="center" vertical="center" shrinkToFit="1"/>
      <protection locked="0"/>
    </xf>
    <xf numFmtId="0" fontId="39" fillId="4" borderId="0" xfId="2" applyFont="1" applyFill="1" applyAlignment="1" applyProtection="1">
      <alignment horizontal="center" vertical="center"/>
      <protection locked="0"/>
    </xf>
    <xf numFmtId="0" fontId="35" fillId="28" borderId="0" xfId="1" applyFont="1" applyFill="1" applyAlignment="1" applyProtection="1">
      <alignment horizontal="center" vertical="center"/>
      <protection locked="0"/>
    </xf>
    <xf numFmtId="0" fontId="9" fillId="29" borderId="76" xfId="2" applyFont="1" applyFill="1" applyBorder="1" applyAlignment="1" applyProtection="1">
      <alignment horizontal="center" vertical="center"/>
      <protection locked="0"/>
    </xf>
    <xf numFmtId="0" fontId="9" fillId="29" borderId="77" xfId="2" applyFont="1" applyFill="1" applyBorder="1" applyAlignment="1" applyProtection="1">
      <alignment horizontal="center" vertical="center"/>
      <protection locked="0"/>
    </xf>
    <xf numFmtId="0" fontId="9" fillId="29" borderId="45" xfId="2" applyFont="1" applyFill="1" applyBorder="1" applyAlignment="1" applyProtection="1">
      <alignment horizontal="center" vertical="center"/>
      <protection locked="0"/>
    </xf>
  </cellXfs>
  <cellStyles count="8">
    <cellStyle name="桁区切り" xfId="3" builtinId="6"/>
    <cellStyle name="桁区切り 2" xfId="5" xr:uid="{EE240E2C-0584-489C-A73A-57F89028BD06}"/>
    <cellStyle name="標準" xfId="0" builtinId="0"/>
    <cellStyle name="標準 2" xfId="4" xr:uid="{00000000-0005-0000-0000-000003000000}"/>
    <cellStyle name="標準 3" xfId="6" xr:uid="{FA078FED-761A-47DF-99C0-00480BAA75C3}"/>
    <cellStyle name="標準 4" xfId="7" xr:uid="{FC691476-8D46-4775-835F-861868136051}"/>
    <cellStyle name="標準_templete_C" xfId="1" xr:uid="{00000000-0005-0000-0000-000004000000}"/>
    <cellStyle name="標準_templete_K" xfId="2" xr:uid="{00000000-0005-0000-0000-000005000000}"/>
  </cellStyles>
  <dxfs count="195">
    <dxf>
      <font>
        <b/>
        <i val="0"/>
        <color rgb="FFFF0000"/>
      </font>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0" tint="-0.14996795556505021"/>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border>
        <left style="thin">
          <color rgb="FFFF0000"/>
        </left>
        <right style="thin">
          <color rgb="FFFF0000"/>
        </right>
        <top style="thin">
          <color rgb="FFFF0000"/>
        </top>
        <bottom style="thin">
          <color rgb="FFFF0000"/>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ont>
        <color auto="1"/>
      </font>
      <fill>
        <patternFill>
          <bgColor theme="0" tint="-0.499984740745262"/>
        </patternFill>
      </fill>
    </dxf>
    <dxf>
      <fill>
        <patternFill>
          <bgColor theme="0" tint="-0.499984740745262"/>
        </patternFill>
      </fill>
    </dxf>
    <dxf>
      <fill>
        <patternFill>
          <bgColor theme="9" tint="0.7999816888943144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CCFFCC"/>
      <color rgb="FFCCFFFF"/>
      <color rgb="FFE5E5FF"/>
      <color rgb="FF00FFCC"/>
      <color rgb="FF33CCCC"/>
      <color rgb="FF99FF99"/>
      <color rgb="FFB4B4F0"/>
      <color rgb="FFFFF5C8"/>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28</xdr:col>
      <xdr:colOff>38100</xdr:colOff>
      <xdr:row>149</xdr:row>
      <xdr:rowOff>57150</xdr:rowOff>
    </xdr:from>
    <xdr:to>
      <xdr:col>29</xdr:col>
      <xdr:colOff>0</xdr:colOff>
      <xdr:row>149</xdr:row>
      <xdr:rowOff>95250</xdr:rowOff>
    </xdr:to>
    <xdr:cxnSp macro="">
      <xdr:nvCxnSpPr>
        <xdr:cNvPr id="9" name="直線矢印コネクタ 8">
          <a:extLst>
            <a:ext uri="{FF2B5EF4-FFF2-40B4-BE49-F238E27FC236}">
              <a16:creationId xmlns:a16="http://schemas.microsoft.com/office/drawing/2014/main" id="{CD252AC7-7167-42B1-9F98-B9F51E552D96}"/>
            </a:ext>
          </a:extLst>
        </xdr:cNvPr>
        <xdr:cNvCxnSpPr/>
      </xdr:nvCxnSpPr>
      <xdr:spPr>
        <a:xfrm flipH="1">
          <a:off x="6972300" y="31156275"/>
          <a:ext cx="209550"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42</xdr:row>
      <xdr:rowOff>0</xdr:rowOff>
    </xdr:from>
    <xdr:to>
      <xdr:col>28</xdr:col>
      <xdr:colOff>103909</xdr:colOff>
      <xdr:row>51</xdr:row>
      <xdr:rowOff>123826</xdr:rowOff>
    </xdr:to>
    <xdr:sp macro="" textlink="">
      <xdr:nvSpPr>
        <xdr:cNvPr id="3" name="フリーフォーム: 図形 12">
          <a:extLst>
            <a:ext uri="{FF2B5EF4-FFF2-40B4-BE49-F238E27FC236}">
              <a16:creationId xmlns:a16="http://schemas.microsoft.com/office/drawing/2014/main" id="{742244EA-E975-42B2-BB5F-C0E41E7019D1}"/>
            </a:ext>
          </a:extLst>
        </xdr:cNvPr>
        <xdr:cNvSpPr/>
      </xdr:nvSpPr>
      <xdr:spPr>
        <a:xfrm>
          <a:off x="5448300" y="9963150"/>
          <a:ext cx="1589809" cy="1476376"/>
        </a:xfrm>
        <a:custGeom>
          <a:avLst/>
          <a:gdLst>
            <a:gd name="connsiteX0" fmla="*/ 1228725 w 1571625"/>
            <a:gd name="connsiteY0" fmla="*/ 1524000 h 1524000"/>
            <a:gd name="connsiteX1" fmla="*/ 1571625 w 1571625"/>
            <a:gd name="connsiteY1" fmla="*/ 1524000 h 1524000"/>
            <a:gd name="connsiteX2" fmla="*/ 1571625 w 1571625"/>
            <a:gd name="connsiteY2" fmla="*/ 180975 h 1524000"/>
            <a:gd name="connsiteX3" fmla="*/ 0 w 1571625"/>
            <a:gd name="connsiteY3" fmla="*/ 180975 h 1524000"/>
            <a:gd name="connsiteX4" fmla="*/ 0 w 1571625"/>
            <a:gd name="connsiteY4" fmla="*/ 0 h 15240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71625" h="1524000">
              <a:moveTo>
                <a:pt x="1228725" y="1524000"/>
              </a:moveTo>
              <a:lnTo>
                <a:pt x="1571625" y="1524000"/>
              </a:lnTo>
              <a:lnTo>
                <a:pt x="1571625" y="180975"/>
              </a:lnTo>
              <a:lnTo>
                <a:pt x="0" y="180975"/>
              </a:lnTo>
              <a:lnTo>
                <a:pt x="0" y="0"/>
              </a:lnTo>
            </a:path>
          </a:pathLst>
        </a:custGeom>
        <a:noFill/>
        <a:ln>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171450</xdr:colOff>
      <xdr:row>0</xdr:row>
      <xdr:rowOff>85725</xdr:rowOff>
    </xdr:from>
    <xdr:ext cx="396000" cy="396000"/>
    <xdr:sp macro="" textlink="">
      <xdr:nvSpPr>
        <xdr:cNvPr id="19" name="楕円 18">
          <a:extLst>
            <a:ext uri="{FF2B5EF4-FFF2-40B4-BE49-F238E27FC236}">
              <a16:creationId xmlns:a16="http://schemas.microsoft.com/office/drawing/2014/main" id="{39D53CF6-027F-49B2-B7A7-585210C01C2D}"/>
            </a:ext>
          </a:extLst>
        </xdr:cNvPr>
        <xdr:cNvSpPr>
          <a:spLocks/>
        </xdr:cNvSpPr>
      </xdr:nvSpPr>
      <xdr:spPr>
        <a:xfrm>
          <a:off x="710565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28</xdr:col>
      <xdr:colOff>38100</xdr:colOff>
      <xdr:row>183</xdr:row>
      <xdr:rowOff>57150</xdr:rowOff>
    </xdr:from>
    <xdr:to>
      <xdr:col>29</xdr:col>
      <xdr:colOff>0</xdr:colOff>
      <xdr:row>183</xdr:row>
      <xdr:rowOff>95250</xdr:rowOff>
    </xdr:to>
    <xdr:cxnSp macro="">
      <xdr:nvCxnSpPr>
        <xdr:cNvPr id="7" name="直線矢印コネクタ 6">
          <a:extLst>
            <a:ext uri="{FF2B5EF4-FFF2-40B4-BE49-F238E27FC236}">
              <a16:creationId xmlns:a16="http://schemas.microsoft.com/office/drawing/2014/main" id="{916266FE-0145-43A7-A456-46E02B59C1A3}"/>
            </a:ext>
          </a:extLst>
        </xdr:cNvPr>
        <xdr:cNvCxnSpPr/>
      </xdr:nvCxnSpPr>
      <xdr:spPr>
        <a:xfrm flipH="1">
          <a:off x="6705600" y="36280725"/>
          <a:ext cx="200025" cy="381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54</xdr:row>
      <xdr:rowOff>18184</xdr:rowOff>
    </xdr:from>
    <xdr:to>
      <xdr:col>25</xdr:col>
      <xdr:colOff>202285</xdr:colOff>
      <xdr:row>56</xdr:row>
      <xdr:rowOff>4705</xdr:rowOff>
    </xdr:to>
    <xdr:sp macro="" textlink="">
      <xdr:nvSpPr>
        <xdr:cNvPr id="8" name="右中かっこ 7">
          <a:extLst>
            <a:ext uri="{FF2B5EF4-FFF2-40B4-BE49-F238E27FC236}">
              <a16:creationId xmlns:a16="http://schemas.microsoft.com/office/drawing/2014/main" id="{0F379D27-A4E2-4F70-B56C-A12ECE260393}"/>
            </a:ext>
          </a:extLst>
        </xdr:cNvPr>
        <xdr:cNvSpPr/>
      </xdr:nvSpPr>
      <xdr:spPr>
        <a:xfrm>
          <a:off x="6010275" y="10286134"/>
          <a:ext cx="145135" cy="558021"/>
        </a:xfrm>
        <a:prstGeom prst="rightBrace">
          <a:avLst>
            <a:gd name="adj1" fmla="val 29620"/>
            <a:gd name="adj2" fmla="val 50000"/>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oneCellAnchor>
    <xdr:from>
      <xdr:col>28</xdr:col>
      <xdr:colOff>161925</xdr:colOff>
      <xdr:row>0</xdr:row>
      <xdr:rowOff>85725</xdr:rowOff>
    </xdr:from>
    <xdr:ext cx="396000" cy="396000"/>
    <xdr:sp macro="" textlink="">
      <xdr:nvSpPr>
        <xdr:cNvPr id="30" name="楕円 29">
          <a:extLst>
            <a:ext uri="{FF2B5EF4-FFF2-40B4-BE49-F238E27FC236}">
              <a16:creationId xmlns:a16="http://schemas.microsoft.com/office/drawing/2014/main" id="{F36F2089-ACC3-4588-9AB9-18B1771B43BD}"/>
            </a:ext>
          </a:extLst>
        </xdr:cNvPr>
        <xdr:cNvSpPr>
          <a:spLocks/>
        </xdr:cNvSpPr>
      </xdr:nvSpPr>
      <xdr:spPr>
        <a:xfrm>
          <a:off x="6829425"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0</xdr:colOff>
      <xdr:row>32</xdr:row>
      <xdr:rowOff>0</xdr:rowOff>
    </xdr:from>
    <xdr:to>
      <xdr:col>30</xdr:col>
      <xdr:colOff>0</xdr:colOff>
      <xdr:row>39</xdr:row>
      <xdr:rowOff>123825</xdr:rowOff>
    </xdr:to>
    <xdr:sp macro="" textlink="">
      <xdr:nvSpPr>
        <xdr:cNvPr id="2" name="フリーフォーム: 図形 1">
          <a:extLst>
            <a:ext uri="{FF2B5EF4-FFF2-40B4-BE49-F238E27FC236}">
              <a16:creationId xmlns:a16="http://schemas.microsoft.com/office/drawing/2014/main" id="{32AA9690-D1D6-4578-BCC6-0BEDEECB5196}"/>
            </a:ext>
          </a:extLst>
        </xdr:cNvPr>
        <xdr:cNvSpPr/>
      </xdr:nvSpPr>
      <xdr:spPr>
        <a:xfrm>
          <a:off x="6667500" y="5943600"/>
          <a:ext cx="476250" cy="2657475"/>
        </a:xfrm>
        <a:custGeom>
          <a:avLst/>
          <a:gdLst>
            <a:gd name="connsiteX0" fmla="*/ 0 w 485775"/>
            <a:gd name="connsiteY0" fmla="*/ 1724025 h 1724025"/>
            <a:gd name="connsiteX1" fmla="*/ 485775 w 485775"/>
            <a:gd name="connsiteY1" fmla="*/ 1724025 h 1724025"/>
            <a:gd name="connsiteX2" fmla="*/ 485775 w 485775"/>
            <a:gd name="connsiteY2" fmla="*/ 0 h 1724025"/>
          </a:gdLst>
          <a:ahLst/>
          <a:cxnLst>
            <a:cxn ang="0">
              <a:pos x="connsiteX0" y="connsiteY0"/>
            </a:cxn>
            <a:cxn ang="0">
              <a:pos x="connsiteX1" y="connsiteY1"/>
            </a:cxn>
            <a:cxn ang="0">
              <a:pos x="connsiteX2" y="connsiteY2"/>
            </a:cxn>
          </a:cxnLst>
          <a:rect l="l" t="t" r="r" b="b"/>
          <a:pathLst>
            <a:path w="485775" h="1724025">
              <a:moveTo>
                <a:pt x="0" y="1724025"/>
              </a:moveTo>
              <a:lnTo>
                <a:pt x="485775" y="1724025"/>
              </a:lnTo>
              <a:lnTo>
                <a:pt x="485775" y="0"/>
              </a:lnTo>
            </a:path>
          </a:pathLst>
        </a:custGeom>
        <a:noFill/>
        <a:ln w="25400">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33</xdr:row>
      <xdr:rowOff>104775</xdr:rowOff>
    </xdr:from>
    <xdr:to>
      <xdr:col>30</xdr:col>
      <xdr:colOff>9525</xdr:colOff>
      <xdr:row>33</xdr:row>
      <xdr:rowOff>104775</xdr:rowOff>
    </xdr:to>
    <xdr:cxnSp macro="">
      <xdr:nvCxnSpPr>
        <xdr:cNvPr id="3" name="直線コネクタ 2">
          <a:extLst>
            <a:ext uri="{FF2B5EF4-FFF2-40B4-BE49-F238E27FC236}">
              <a16:creationId xmlns:a16="http://schemas.microsoft.com/office/drawing/2014/main" id="{6C508075-8397-4C88-8189-705F17BFDE03}"/>
            </a:ext>
          </a:extLst>
        </xdr:cNvPr>
        <xdr:cNvCxnSpPr/>
      </xdr:nvCxnSpPr>
      <xdr:spPr>
        <a:xfrm>
          <a:off x="6667500" y="6410325"/>
          <a:ext cx="48577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35</xdr:row>
      <xdr:rowOff>104775</xdr:rowOff>
    </xdr:from>
    <xdr:to>
      <xdr:col>30</xdr:col>
      <xdr:colOff>0</xdr:colOff>
      <xdr:row>35</xdr:row>
      <xdr:rowOff>104775</xdr:rowOff>
    </xdr:to>
    <xdr:cxnSp macro="">
      <xdr:nvCxnSpPr>
        <xdr:cNvPr id="4" name="直線コネクタ 3">
          <a:extLst>
            <a:ext uri="{FF2B5EF4-FFF2-40B4-BE49-F238E27FC236}">
              <a16:creationId xmlns:a16="http://schemas.microsoft.com/office/drawing/2014/main" id="{C6754BEE-5E11-451E-B301-420964F989BE}"/>
            </a:ext>
          </a:extLst>
        </xdr:cNvPr>
        <xdr:cNvCxnSpPr/>
      </xdr:nvCxnSpPr>
      <xdr:spPr>
        <a:xfrm>
          <a:off x="6667500" y="7134225"/>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238125</xdr:colOff>
      <xdr:row>37</xdr:row>
      <xdr:rowOff>114300</xdr:rowOff>
    </xdr:from>
    <xdr:to>
      <xdr:col>30</xdr:col>
      <xdr:colOff>0</xdr:colOff>
      <xdr:row>37</xdr:row>
      <xdr:rowOff>114300</xdr:rowOff>
    </xdr:to>
    <xdr:cxnSp macro="">
      <xdr:nvCxnSpPr>
        <xdr:cNvPr id="5" name="直線コネクタ 4">
          <a:extLst>
            <a:ext uri="{FF2B5EF4-FFF2-40B4-BE49-F238E27FC236}">
              <a16:creationId xmlns:a16="http://schemas.microsoft.com/office/drawing/2014/main" id="{A516F7BE-7A0E-47EE-9E81-226ADA9C61B2}"/>
            </a:ext>
          </a:extLst>
        </xdr:cNvPr>
        <xdr:cNvCxnSpPr/>
      </xdr:nvCxnSpPr>
      <xdr:spPr>
        <a:xfrm>
          <a:off x="6667500" y="7867650"/>
          <a:ext cx="4762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228600</xdr:colOff>
      <xdr:row>26</xdr:row>
      <xdr:rowOff>0</xdr:rowOff>
    </xdr:from>
    <xdr:to>
      <xdr:col>30</xdr:col>
      <xdr:colOff>0</xdr:colOff>
      <xdr:row>29</xdr:row>
      <xdr:rowOff>0</xdr:rowOff>
    </xdr:to>
    <xdr:sp macro="" textlink="">
      <xdr:nvSpPr>
        <xdr:cNvPr id="6" name="フリーフォーム: 図形 5">
          <a:extLst>
            <a:ext uri="{FF2B5EF4-FFF2-40B4-BE49-F238E27FC236}">
              <a16:creationId xmlns:a16="http://schemas.microsoft.com/office/drawing/2014/main" id="{3B9AE8B1-CE38-4A2F-9F28-75CA293EEBBE}"/>
            </a:ext>
          </a:extLst>
        </xdr:cNvPr>
        <xdr:cNvSpPr/>
      </xdr:nvSpPr>
      <xdr:spPr>
        <a:xfrm>
          <a:off x="4752975" y="4905375"/>
          <a:ext cx="2390775" cy="371475"/>
        </a:xfrm>
        <a:custGeom>
          <a:avLst/>
          <a:gdLst>
            <a:gd name="connsiteX0" fmla="*/ 2486025 w 2486025"/>
            <a:gd name="connsiteY0" fmla="*/ 419100 h 419100"/>
            <a:gd name="connsiteX1" fmla="*/ 2486025 w 2486025"/>
            <a:gd name="connsiteY1" fmla="*/ 209550 h 419100"/>
            <a:gd name="connsiteX2" fmla="*/ 0 w 2486025"/>
            <a:gd name="connsiteY2" fmla="*/ 209550 h 419100"/>
            <a:gd name="connsiteX3" fmla="*/ 0 w 2486025"/>
            <a:gd name="connsiteY3" fmla="*/ 0 h 419100"/>
          </a:gdLst>
          <a:ahLst/>
          <a:cxnLst>
            <a:cxn ang="0">
              <a:pos x="connsiteX0" y="connsiteY0"/>
            </a:cxn>
            <a:cxn ang="0">
              <a:pos x="connsiteX1" y="connsiteY1"/>
            </a:cxn>
            <a:cxn ang="0">
              <a:pos x="connsiteX2" y="connsiteY2"/>
            </a:cxn>
            <a:cxn ang="0">
              <a:pos x="connsiteX3" y="connsiteY3"/>
            </a:cxn>
          </a:cxnLst>
          <a:rect l="l" t="t" r="r" b="b"/>
          <a:pathLst>
            <a:path w="2486025" h="419100">
              <a:moveTo>
                <a:pt x="2486025" y="419100"/>
              </a:moveTo>
              <a:lnTo>
                <a:pt x="2486025" y="209550"/>
              </a:lnTo>
              <a:lnTo>
                <a:pt x="0" y="209550"/>
              </a:lnTo>
              <a:lnTo>
                <a:pt x="0" y="0"/>
              </a:lnTo>
            </a:path>
          </a:pathLst>
        </a:custGeom>
        <a:noFill/>
        <a:ln w="25400">
          <a:solidFill>
            <a:schemeClr val="tx1"/>
          </a:solidFill>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0</xdr:row>
      <xdr:rowOff>85725</xdr:rowOff>
    </xdr:from>
    <xdr:ext cx="396000" cy="396000"/>
    <xdr:sp macro="" textlink="">
      <xdr:nvSpPr>
        <xdr:cNvPr id="15" name="楕円 14">
          <a:extLst>
            <a:ext uri="{FF2B5EF4-FFF2-40B4-BE49-F238E27FC236}">
              <a16:creationId xmlns:a16="http://schemas.microsoft.com/office/drawing/2014/main" id="{AAA3A322-3EA2-49FC-B53E-D09EFE4C5B88}"/>
            </a:ext>
          </a:extLst>
        </xdr:cNvPr>
        <xdr:cNvSpPr>
          <a:spLocks/>
        </xdr:cNvSpPr>
      </xdr:nvSpPr>
      <xdr:spPr>
        <a:xfrm>
          <a:off x="6819900" y="85725"/>
          <a:ext cx="396000" cy="39600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3600" bIns="0" rtlCol="0" anchor="ctr" anchorCtr="0">
          <a:spAutoFit/>
        </a:bodyPr>
        <a:lstStyle/>
        <a:p>
          <a:pPr algn="ctr"/>
          <a:r>
            <a:rPr kumimoji="1" lang="ja-JP" altLang="en-US" sz="1400" b="1">
              <a:solidFill>
                <a:sysClr val="windowText" lastClr="000000"/>
              </a:solidFill>
            </a:rPr>
            <a:t>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8DB4C-983E-4439-805D-8299A7EE750B}">
  <sheetPr codeName="Sheet1">
    <tabColor rgb="FFD9D9FF"/>
  </sheetPr>
  <dimension ref="A1:AU560"/>
  <sheetViews>
    <sheetView showGridLines="0" zoomScaleNormal="100" zoomScaleSheetLayoutView="100" workbookViewId="0">
      <selection activeCell="V11" sqref="V11"/>
    </sheetView>
  </sheetViews>
  <sheetFormatPr defaultColWidth="4.33203125" defaultRowHeight="15" customHeight="1"/>
  <cols>
    <col min="1" max="31" width="4.33203125" style="1" customWidth="1"/>
    <col min="32" max="32" width="91.6640625" style="222" customWidth="1"/>
    <col min="33" max="33" width="9.33203125" style="2" hidden="1" customWidth="1"/>
    <col min="34" max="34" width="26.5" style="2" hidden="1" customWidth="1"/>
    <col min="35" max="35" width="26" style="2" hidden="1" customWidth="1"/>
    <col min="36" max="36" width="12.83203125" style="2" hidden="1" customWidth="1"/>
    <col min="37" max="37" width="8.5" style="2" hidden="1" customWidth="1"/>
    <col min="38" max="38" width="9.33203125" style="2" hidden="1" customWidth="1"/>
    <col min="39" max="50" width="0" style="2" hidden="1" customWidth="1"/>
    <col min="51" max="16384" width="4.33203125" style="2"/>
  </cols>
  <sheetData>
    <row r="1" spans="1:35" ht="18.75" customHeight="1">
      <c r="A1" s="1091" t="s">
        <v>1265</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row>
    <row r="2" spans="1:35" ht="10.5" customHeight="1">
      <c r="A2" s="1092" t="s">
        <v>1273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H2" s="2" t="s">
        <v>1293</v>
      </c>
      <c r="AI2" s="2" t="s">
        <v>1276</v>
      </c>
    </row>
    <row r="3" spans="1:35" ht="10.5" customHeight="1">
      <c r="A3" s="1092"/>
      <c r="B3" s="1092"/>
      <c r="C3" s="1092"/>
      <c r="D3" s="1092"/>
      <c r="E3" s="1092"/>
      <c r="F3" s="1092"/>
      <c r="G3" s="1092"/>
      <c r="H3" s="1092"/>
      <c r="I3" s="1092"/>
      <c r="J3" s="1092"/>
      <c r="K3" s="1092"/>
      <c r="L3" s="1092"/>
      <c r="M3" s="1092"/>
      <c r="N3" s="1092"/>
      <c r="O3" s="1092"/>
      <c r="P3" s="1092"/>
      <c r="Q3" s="1092"/>
      <c r="R3" s="1092"/>
      <c r="S3" s="1092"/>
      <c r="T3" s="1092"/>
      <c r="U3" s="1092"/>
      <c r="V3" s="1092"/>
      <c r="W3" s="1092"/>
      <c r="X3" s="1092"/>
      <c r="Y3" s="1092"/>
      <c r="Z3" s="1092"/>
      <c r="AA3" s="1092"/>
      <c r="AB3" s="1092"/>
      <c r="AC3" s="1092"/>
      <c r="AD3" s="1092"/>
      <c r="AE3" s="1092"/>
      <c r="AI3" s="2" t="s">
        <v>112</v>
      </c>
    </row>
    <row r="4" spans="1:35" ht="10.5" customHeight="1">
      <c r="A4" s="1093" t="s">
        <v>1274</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I4" s="2" t="s">
        <v>1310</v>
      </c>
    </row>
    <row r="5" spans="1:35" ht="10.5" customHeight="1">
      <c r="A5" s="1093"/>
      <c r="B5" s="1093"/>
      <c r="C5" s="1093"/>
      <c r="D5" s="1093"/>
      <c r="E5" s="1093"/>
      <c r="F5" s="1093"/>
      <c r="G5" s="1093"/>
      <c r="H5" s="1093"/>
      <c r="I5" s="1093"/>
      <c r="J5" s="1093"/>
      <c r="K5" s="1093"/>
      <c r="L5" s="1093"/>
      <c r="M5" s="1093"/>
      <c r="N5" s="1093"/>
      <c r="O5" s="1093"/>
      <c r="P5" s="1093"/>
      <c r="Q5" s="1093"/>
      <c r="R5" s="1093"/>
      <c r="S5" s="1093"/>
      <c r="T5" s="1093"/>
      <c r="U5" s="1093"/>
      <c r="V5" s="1093"/>
      <c r="W5" s="1093"/>
      <c r="X5" s="1093"/>
      <c r="Y5" s="1093"/>
      <c r="Z5" s="1093"/>
      <c r="AA5" s="1093"/>
      <c r="AB5" s="1093"/>
      <c r="AC5" s="1093"/>
      <c r="AD5" s="1093"/>
      <c r="AE5" s="1093"/>
      <c r="AI5" s="2" t="s">
        <v>1311</v>
      </c>
    </row>
    <row r="6" spans="1:35" ht="10.5" customHeight="1">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I6" s="2" t="s">
        <v>1312</v>
      </c>
    </row>
    <row r="7" spans="1:35" ht="10.5" customHeight="1" thickBot="1">
      <c r="A7" s="215"/>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c r="AI7" s="2" t="s">
        <v>1313</v>
      </c>
    </row>
    <row r="8" spans="1:35" ht="13.7" customHeight="1">
      <c r="A8" s="215"/>
      <c r="B8" s="1094" t="s">
        <v>1269</v>
      </c>
      <c r="C8" s="1095"/>
      <c r="D8" s="1095"/>
      <c r="E8" s="1096"/>
      <c r="F8" s="17"/>
      <c r="G8" s="1094" t="s">
        <v>1270</v>
      </c>
      <c r="H8" s="1095"/>
      <c r="I8" s="1095"/>
      <c r="J8" s="1095"/>
      <c r="K8" s="1095"/>
      <c r="L8" s="1095"/>
      <c r="M8" s="1095"/>
      <c r="N8" s="1095"/>
      <c r="O8" s="1095"/>
      <c r="P8" s="1095"/>
      <c r="Q8" s="1095"/>
      <c r="R8" s="1095"/>
      <c r="S8" s="1095"/>
      <c r="T8" s="1096"/>
      <c r="U8" s="17"/>
      <c r="V8" s="1097" t="s">
        <v>1271</v>
      </c>
      <c r="W8" s="1098"/>
      <c r="X8" s="1098"/>
      <c r="Y8" s="1099"/>
      <c r="Z8" s="1100" t="s">
        <v>1275</v>
      </c>
      <c r="AA8" s="1101"/>
      <c r="AB8" s="1101"/>
      <c r="AC8" s="1101"/>
      <c r="AD8" s="1101"/>
      <c r="AE8" s="1102"/>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c r="AI8" s="3" t="s">
        <v>1314</v>
      </c>
    </row>
    <row r="9" spans="1:35" s="3" customFormat="1" ht="15.75" customHeight="1">
      <c r="A9" s="215"/>
      <c r="B9" s="1103" t="s">
        <v>1276</v>
      </c>
      <c r="C9" s="1104"/>
      <c r="D9" s="1104"/>
      <c r="E9" s="1105"/>
      <c r="F9" s="17"/>
      <c r="G9" s="1112"/>
      <c r="H9" s="1113"/>
      <c r="I9" s="1113"/>
      <c r="J9" s="1113"/>
      <c r="K9" s="1113"/>
      <c r="L9" s="1113"/>
      <c r="M9" s="1113"/>
      <c r="N9" s="1113"/>
      <c r="O9" s="1113"/>
      <c r="P9" s="1113"/>
      <c r="Q9" s="1113"/>
      <c r="R9" s="1113"/>
      <c r="S9" s="1113"/>
      <c r="T9" s="1114"/>
      <c r="U9" s="17"/>
      <c r="V9" s="1118" t="str">
        <f>IFERROR(VLOOKUP(CONCATENATE(B9&amp;G9),AI553:AL1858,2,FALSE),"自動取得")</f>
        <v>自動取得</v>
      </c>
      <c r="W9" s="1119"/>
      <c r="X9" s="1119"/>
      <c r="Y9" s="1120"/>
      <c r="Z9" s="1124" t="str">
        <f>IFERROR(VLOOKUP(CONCATENATE(B9&amp;G9),AI553:AL1858,4,FALSE),"自動取得")</f>
        <v>自動取得</v>
      </c>
      <c r="AA9" s="1125"/>
      <c r="AB9" s="1125"/>
      <c r="AC9" s="1125"/>
      <c r="AD9" s="1125"/>
      <c r="AE9" s="1126"/>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c r="AG9" s="238">
        <f>COUNTIF(Z9:AE10,"*専*")</f>
        <v>0</v>
      </c>
    </row>
    <row r="10" spans="1:35" s="3" customFormat="1" ht="26.25" customHeight="1" thickBot="1">
      <c r="A10" s="215"/>
      <c r="B10" s="1106"/>
      <c r="C10" s="1107"/>
      <c r="D10" s="1107"/>
      <c r="E10" s="1108"/>
      <c r="F10" s="17"/>
      <c r="G10" s="1115"/>
      <c r="H10" s="1116"/>
      <c r="I10" s="1116"/>
      <c r="J10" s="1116"/>
      <c r="K10" s="1116"/>
      <c r="L10" s="1116"/>
      <c r="M10" s="1116"/>
      <c r="N10" s="1116"/>
      <c r="O10" s="1116"/>
      <c r="P10" s="1116"/>
      <c r="Q10" s="1116"/>
      <c r="R10" s="1116"/>
      <c r="S10" s="1116"/>
      <c r="T10" s="1117"/>
      <c r="U10" s="17"/>
      <c r="V10" s="1121"/>
      <c r="W10" s="1122"/>
      <c r="X10" s="1122"/>
      <c r="Y10" s="1123"/>
      <c r="Z10" s="1109" t="s">
        <v>1323</v>
      </c>
      <c r="AA10" s="1110"/>
      <c r="AB10" s="1110"/>
      <c r="AC10" s="1110"/>
      <c r="AD10" s="1110"/>
      <c r="AE10" s="1111"/>
      <c r="AF10" s="601"/>
    </row>
    <row r="11" spans="1:35" s="3" customFormat="1" ht="22.5" customHeight="1" thickBot="1">
      <c r="A11" s="215"/>
      <c r="B11" s="1109"/>
      <c r="C11" s="1110"/>
      <c r="D11" s="1110"/>
      <c r="E11" s="1111"/>
      <c r="F11" s="17"/>
      <c r="G11" s="906" t="s">
        <v>1277</v>
      </c>
      <c r="H11" s="907"/>
      <c r="I11" s="1127"/>
      <c r="J11" s="1127"/>
      <c r="K11" s="1127"/>
      <c r="L11" s="1127"/>
      <c r="M11" s="1127"/>
      <c r="N11" s="1127"/>
      <c r="O11" s="1127"/>
      <c r="P11" s="1127"/>
      <c r="Q11" s="1127"/>
      <c r="R11" s="1127"/>
      <c r="S11" s="1127"/>
      <c r="T11" s="1128"/>
      <c r="U11" s="17"/>
      <c r="V11" s="242"/>
      <c r="W11" s="242"/>
      <c r="X11" s="242"/>
      <c r="Y11" s="242"/>
      <c r="Z11" s="242"/>
      <c r="AA11" s="242"/>
      <c r="AB11" s="1129" t="str">
        <f>IFERROR(VLOOKUP(CONCATENATE(B9&amp;G9),AI553:AL1858,3,FALSE),"自動取得")</f>
        <v>自動取得</v>
      </c>
      <c r="AC11" s="1129"/>
      <c r="AD11" s="1129"/>
      <c r="AE11" s="1129"/>
      <c r="AF11" s="601"/>
    </row>
    <row r="12" spans="1:35" s="3" customFormat="1" ht="4.5" customHeight="1">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23"/>
    </row>
    <row r="13" spans="1:35" s="3" customFormat="1" ht="4.5" customHeight="1">
      <c r="A13" s="215"/>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23"/>
    </row>
    <row r="14" spans="1:35" s="3" customFormat="1" ht="4.5" customHeight="1" thickBot="1">
      <c r="A14" s="215"/>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23"/>
    </row>
    <row r="15" spans="1:35" s="3" customFormat="1" ht="13.5" customHeight="1">
      <c r="A15" s="1037" t="s">
        <v>1278</v>
      </c>
      <c r="B15" s="1038"/>
      <c r="C15" s="1038"/>
      <c r="D15" s="1038"/>
      <c r="E15" s="1038"/>
      <c r="F15" s="1038"/>
      <c r="G15" s="1038"/>
      <c r="H15" s="1038"/>
      <c r="I15" s="1038"/>
      <c r="J15" s="1038"/>
      <c r="K15" s="1038"/>
      <c r="L15" s="1038"/>
      <c r="M15" s="1038"/>
      <c r="N15" s="1038"/>
      <c r="O15" s="1038"/>
      <c r="P15" s="1038"/>
      <c r="Q15" s="1038"/>
      <c r="R15" s="1038"/>
      <c r="S15" s="1038"/>
      <c r="T15" s="1038"/>
      <c r="U15" s="1038"/>
      <c r="V15" s="1038"/>
      <c r="W15" s="1038"/>
      <c r="X15" s="1038"/>
      <c r="Y15" s="1038"/>
      <c r="Z15" s="1038"/>
      <c r="AA15" s="1038"/>
      <c r="AB15" s="1038"/>
      <c r="AC15" s="1038"/>
      <c r="AD15" s="1038"/>
      <c r="AE15" s="1039"/>
      <c r="AF15" s="223"/>
    </row>
    <row r="16" spans="1:35" s="3" customFormat="1" ht="19.5" customHeight="1">
      <c r="A16" s="1063" t="s">
        <v>1216</v>
      </c>
      <c r="B16" s="1064"/>
      <c r="C16" s="1065"/>
      <c r="D16" s="1069" t="s">
        <v>4</v>
      </c>
      <c r="E16" s="1006"/>
      <c r="F16" s="875"/>
      <c r="G16" s="875"/>
      <c r="H16" s="875"/>
      <c r="I16" s="875"/>
      <c r="J16" s="875"/>
      <c r="K16" s="875"/>
      <c r="L16" s="875"/>
      <c r="M16" s="875"/>
      <c r="N16" s="875"/>
      <c r="O16" s="875"/>
      <c r="P16" s="876"/>
      <c r="Q16" s="1088" t="s">
        <v>3</v>
      </c>
      <c r="R16" s="1089"/>
      <c r="S16" s="1090"/>
      <c r="T16" s="880"/>
      <c r="U16" s="881"/>
      <c r="V16" s="881"/>
      <c r="W16" s="881"/>
      <c r="X16" s="881"/>
      <c r="Y16" s="881"/>
      <c r="Z16" s="881"/>
      <c r="AA16" s="881"/>
      <c r="AB16" s="881"/>
      <c r="AC16" s="881"/>
      <c r="AD16" s="881"/>
      <c r="AE16" s="882"/>
      <c r="AF16" s="601" t="str">
        <f>IF(F18="","←問い合わせ先氏名を記入してください","")</f>
        <v>←問い合わせ先氏名を記入してください</v>
      </c>
    </row>
    <row r="17" spans="1:32" s="3" customFormat="1" ht="12.75" customHeight="1">
      <c r="A17" s="1063"/>
      <c r="B17" s="1064"/>
      <c r="C17" s="1065"/>
      <c r="D17" s="1003" t="s">
        <v>0</v>
      </c>
      <c r="E17" s="1004"/>
      <c r="F17" s="885"/>
      <c r="G17" s="885"/>
      <c r="H17" s="885"/>
      <c r="I17" s="885"/>
      <c r="J17" s="885"/>
      <c r="K17" s="885"/>
      <c r="L17" s="885"/>
      <c r="M17" s="885"/>
      <c r="N17" s="885"/>
      <c r="O17" s="885"/>
      <c r="P17" s="886"/>
      <c r="Q17" s="1005" t="s">
        <v>1266</v>
      </c>
      <c r="R17" s="1006"/>
      <c r="S17" s="1006"/>
      <c r="T17" s="889"/>
      <c r="U17" s="890"/>
      <c r="V17" s="890"/>
      <c r="W17" s="890"/>
      <c r="X17" s="890"/>
      <c r="Y17" s="890"/>
      <c r="Z17" s="890"/>
      <c r="AA17" s="890"/>
      <c r="AB17" s="890"/>
      <c r="AC17" s="890"/>
      <c r="AD17" s="890"/>
      <c r="AE17" s="891"/>
      <c r="AF17" s="601" t="str">
        <f>IF(T16="","←問い合わせ先電話番号を記入してください","")</f>
        <v>←問い合わせ先電話番号を記入してください</v>
      </c>
    </row>
    <row r="18" spans="1:32" s="3" customFormat="1" ht="19.5" customHeight="1" thickBot="1">
      <c r="A18" s="1066"/>
      <c r="B18" s="1067"/>
      <c r="C18" s="1068"/>
      <c r="D18" s="1008" t="s">
        <v>1217</v>
      </c>
      <c r="E18" s="1009"/>
      <c r="F18" s="1010"/>
      <c r="G18" s="1010"/>
      <c r="H18" s="1010"/>
      <c r="I18" s="1010"/>
      <c r="J18" s="1010"/>
      <c r="K18" s="1010"/>
      <c r="L18" s="1010"/>
      <c r="M18" s="1010"/>
      <c r="N18" s="1010"/>
      <c r="O18" s="1010"/>
      <c r="P18" s="1011"/>
      <c r="Q18" s="1007"/>
      <c r="R18" s="1007"/>
      <c r="S18" s="1007"/>
      <c r="T18" s="892"/>
      <c r="U18" s="893"/>
      <c r="V18" s="893"/>
      <c r="W18" s="893"/>
      <c r="X18" s="893"/>
      <c r="Y18" s="893"/>
      <c r="Z18" s="893"/>
      <c r="AA18" s="893"/>
      <c r="AB18" s="893"/>
      <c r="AC18" s="893"/>
      <c r="AD18" s="893"/>
      <c r="AE18" s="894"/>
      <c r="AF18" s="601" t="str">
        <f>IF(T17="","←問い合わせ先メールを記入してください","")</f>
        <v>←問い合わせ先メールを記入してください</v>
      </c>
    </row>
    <row r="19" spans="1:32" s="3" customFormat="1" ht="15" customHeight="1" thickBot="1">
      <c r="A19" s="215"/>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23"/>
    </row>
    <row r="20" spans="1:32" s="3" customFormat="1" ht="15" customHeight="1">
      <c r="A20" s="215"/>
      <c r="B20" s="1040" t="s">
        <v>1272</v>
      </c>
      <c r="C20" s="1041"/>
      <c r="D20" s="1041"/>
      <c r="E20" s="1041"/>
      <c r="F20" s="1041"/>
      <c r="G20" s="1041"/>
      <c r="H20" s="1041"/>
      <c r="I20" s="1041"/>
      <c r="J20" s="1041"/>
      <c r="K20" s="1041"/>
      <c r="L20" s="1041"/>
      <c r="M20" s="1041"/>
      <c r="N20" s="1041"/>
      <c r="O20" s="1041"/>
      <c r="P20" s="1041"/>
      <c r="Q20" s="1041"/>
      <c r="R20" s="1041"/>
      <c r="S20" s="1041"/>
      <c r="T20" s="1041"/>
      <c r="U20" s="1041"/>
      <c r="V20" s="1041"/>
      <c r="W20" s="1041"/>
      <c r="X20" s="1041"/>
      <c r="Y20" s="1041"/>
      <c r="Z20" s="1041"/>
      <c r="AA20" s="1041"/>
      <c r="AB20" s="1041"/>
      <c r="AC20" s="1041"/>
      <c r="AD20" s="1042"/>
      <c r="AE20" s="215"/>
      <c r="AF20" s="223"/>
    </row>
    <row r="21" spans="1:32" s="3" customFormat="1" ht="31.5" customHeight="1">
      <c r="A21" s="215"/>
      <c r="B21" s="1043" t="str">
        <f>IF(OR(IFERROR($V$9,"")="自動取得",IFERROR($V$9,"")="",ISERROR($V$9)),"③学校コードが取得されていません。①都道府県名、②学校名が入力されているか確認してください。原因が分からない場合はお問い合わせください。",
IF(AND(OR($AB$11="有",$A$34="✔"),$Z$10="定時制"),"【本票】の回答は不要です。【別票】の回答をお願いいたします。",
IF(AND(OR($AB$11="有",$A$34="✔"),$Z$10="↑④に変更がある場合は選択",$Z$9="定時制"),"【本票】の回答は不要です。【別票】の回答をお願いいたします。",
IF(AND(OR($AB$11="有",$A$34="✔"),$Z$10="定/専攻科"),"【本票】「Ⅰ.入学状況・生徒数」の本科(１～４年)の男女別生徒数　及び　【別票】に回答をお願いいたします。",
IF(AND(OR($AB$11="有",$A$34="✔"),$Z$10="↑④に変更がある場合は選択",$Z$9="定/専攻科"),"【本票】「Ⅰ.入学状況・生徒数」の本科(１～４年)の男女別生徒数　及び　【別票】に回答をお願いいたします。",
IF(AND(OR($AB$11="有",$A$34="✔"),$Z$10="定/通/専"),"【本票】「Ⅰ.入学状況・生徒数」の本科(１～４年)の男女別生徒数、「Ⅵ.令和７年度事業活動収支内訳」　及び　【別票】に回答をお願いいたします。",
IF(AND(OR($AB$11="有",$A$34="✔"),$Z$10="↑④に変更がある場合は選択",$Z$9="定/通/専"),"【本票】「Ⅰ.入学状況・生徒数」の本科(１～４年)の男女別生徒数、「Ⅵ.令和７年度事業活動収支内訳」　及び　【別票】に回答をお願いいたします。",
IF(AND(OR($AB$11="有",$A$34="✔"),OR($Z$10="全/定時制",$Z$10="定/通信制",$Z$10="全/定/通",$Z$10="全/定/専",$Z$10="全/定/通/専")),"【本票】「Ⅵ.令和７年度事業活動収支内訳」　及び　【別票】に回答をお願いいたします。",
IF(AND(OR($AB$11="有",$A$34="✔"),$Z$10="↑④に変更がある場合は選択",OR($Z$9="全/定時制",$Z$9="定/通信制",$Z$9="全/定/通",$Z$9="全/定/専",$Z$9="全/定/通/専")),"【本票】「Ⅵ.令和７年度事業活動収支内訳」　及び　【別票】に回答をお願いいたします。",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044"/>
      <c r="D21" s="1044"/>
      <c r="E21" s="1044"/>
      <c r="F21" s="1044"/>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4"/>
      <c r="AC21" s="1044"/>
      <c r="AD21" s="1045"/>
      <c r="AE21" s="215"/>
      <c r="AF21" s="223"/>
    </row>
    <row r="22" spans="1:32" s="3" customFormat="1" ht="12.75" customHeight="1">
      <c r="A22" s="215"/>
      <c r="B22" s="1046" t="str">
        <f>IF(AND($B$21="【本票】「Ⅰ.入学状況・生徒数」の本科(１～４年)の男女別生徒数　及び　【別票】に回答をお願いいたします。",OR(AND($Z$9="定/専攻科",$Z$10="↑④に変更がある場合は選択"),$Z$10="定/専攻科")),"なお、この調査票では【定時制】についてご回答いただき、専攻科については専攻科調査票にてご回答をお願いいたします。",
IF(AND($B$21="【本票】「Ⅰ.入学状況・生徒数」の本科(１～４年)の男女別生徒数、「Ⅵ.令和７年度事業活動収支内訳」　及び　【別票】に回答をお願いいたします。",OR(AND($Z$9="定/通/専",$Z$10="↑④に変更がある場合は選択"),$Z$10="定/通/専")),"なお、この調査票では【定時制】についてご回答いただき、通信制及び専攻科については各調査票にてご回答をお願いいたします。",
IF(AND($B$21="【本票】「Ⅵ.令和７年度事業活動収支内訳」　及び　【別票】に回答をお願いいたします。",OR(AND($Z$9="全/定時制",$Z$10="↑④に変更がある場合は選択"),$Z$10="全/定時制")),"なお、この調査票では【定時制】についてご回答いただき、全日制については全日制の調査票にてご回答をお願いいたします。",
IF(AND($B$21="【本票】「Ⅵ.令和７年度事業活動収支内訳」　及び　【別票】に回答をお願いいたします。",OR(AND($Z$9="定/通信制",$Z$10="↑④に変更がある場合は選択"),$Z$10="定/通信制")),"なお、この調査票では【定時制】についてご回答いただき、通信制については通信制の調査票にてご回答をお願いいたします。",
IF(AND($B$21="【本票】「Ⅵ.令和７年度事業活動収支内訳」　及び　【別票】に回答をお願いいたします。",OR(AND($Z$9="全/定/通",$Z$10="↑④に変更がある場合は選択"),$Z$10="全/定/通")),"なお、この調査票では【定時制】についてご回答いただき、全日制及び通信制については各調査票にてご回答をお願いいたします。",
IF(AND($B$21="【本票】「Ⅵ.令和７年度事業活動収支内訳」　及び　【別票】に回答をお願いいたします。",OR(AND($Z$9="全/定/専",$Z$10="↑④に変更がある場合は選択"),$Z$10="全/定/専")),"なお、この調査票では【定時制】についてご回答いただき、全日制及び専攻科については各調査票にてご回答をお願いいたします。",
IF(AND($B$21="【本票】「Ⅵ.令和７年度事業活動収支内訳」　及び　【別票】に回答をお願いいたします。",OR(AND($Z$9="全/定/通/専",$Z$10="↑④に変更がある場合は選択"),$Z$10="全/定/通/専")),"なお、この調査票では【定時制】についてご回答いただき、全日制・通信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047"/>
      <c r="D22" s="1047"/>
      <c r="E22" s="1047"/>
      <c r="F22" s="1047"/>
      <c r="G22" s="1047"/>
      <c r="H22" s="1047"/>
      <c r="I22" s="1047"/>
      <c r="J22" s="1047"/>
      <c r="K22" s="1047"/>
      <c r="L22" s="1047"/>
      <c r="M22" s="1047"/>
      <c r="N22" s="1047"/>
      <c r="O22" s="1047"/>
      <c r="P22" s="1047"/>
      <c r="Q22" s="1047"/>
      <c r="R22" s="1047"/>
      <c r="S22" s="1047"/>
      <c r="T22" s="1047"/>
      <c r="U22" s="1047"/>
      <c r="V22" s="1047"/>
      <c r="W22" s="1047"/>
      <c r="X22" s="1047"/>
      <c r="Y22" s="1047"/>
      <c r="Z22" s="1047"/>
      <c r="AA22" s="1047"/>
      <c r="AB22" s="1047"/>
      <c r="AC22" s="1047"/>
      <c r="AD22" s="1048"/>
      <c r="AE22" s="215"/>
      <c r="AF22" s="223"/>
    </row>
    <row r="23" spans="1:32" s="3" customFormat="1" ht="12.75" customHeight="1" thickBot="1">
      <c r="A23" s="215"/>
      <c r="B23" s="1049"/>
      <c r="C23" s="1050"/>
      <c r="D23" s="1050"/>
      <c r="E23" s="1050"/>
      <c r="F23" s="1050"/>
      <c r="G23" s="1050"/>
      <c r="H23" s="1050"/>
      <c r="I23" s="1050"/>
      <c r="J23" s="1050"/>
      <c r="K23" s="1050"/>
      <c r="L23" s="1050"/>
      <c r="M23" s="1050"/>
      <c r="N23" s="1050"/>
      <c r="O23" s="1050"/>
      <c r="P23" s="1050"/>
      <c r="Q23" s="1050"/>
      <c r="R23" s="1050"/>
      <c r="S23" s="1050"/>
      <c r="T23" s="1050"/>
      <c r="U23" s="1050"/>
      <c r="V23" s="1050"/>
      <c r="W23" s="1050"/>
      <c r="X23" s="1050"/>
      <c r="Y23" s="1050"/>
      <c r="Z23" s="1050"/>
      <c r="AA23" s="1050"/>
      <c r="AB23" s="1050"/>
      <c r="AC23" s="1050"/>
      <c r="AD23" s="1051"/>
      <c r="AE23" s="215"/>
      <c r="AF23" s="223"/>
    </row>
    <row r="24" spans="1:32" s="3" customFormat="1" ht="12" customHeight="1" thickBot="1">
      <c r="A24" s="215"/>
      <c r="B24" s="215"/>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c r="AA24" s="215"/>
      <c r="AB24" s="215"/>
      <c r="AC24" s="215"/>
      <c r="AD24" s="215"/>
      <c r="AE24" s="215"/>
      <c r="AF24" s="223"/>
    </row>
    <row r="25" spans="1:32" s="3" customFormat="1" ht="13.5" customHeight="1">
      <c r="A25" s="1037" t="s">
        <v>1279</v>
      </c>
      <c r="B25" s="1038"/>
      <c r="C25" s="1038"/>
      <c r="D25" s="1038"/>
      <c r="E25" s="1038"/>
      <c r="F25" s="1038"/>
      <c r="G25" s="1038"/>
      <c r="H25" s="1038"/>
      <c r="I25" s="1038"/>
      <c r="J25" s="1038"/>
      <c r="K25" s="1038"/>
      <c r="L25" s="1038"/>
      <c r="M25" s="1038"/>
      <c r="N25" s="1038"/>
      <c r="O25" s="1038"/>
      <c r="P25" s="1038"/>
      <c r="Q25" s="1038"/>
      <c r="R25" s="1038"/>
      <c r="S25" s="1038"/>
      <c r="T25" s="1038"/>
      <c r="U25" s="1038"/>
      <c r="V25" s="1038"/>
      <c r="W25" s="1038"/>
      <c r="X25" s="1038"/>
      <c r="Y25" s="1038"/>
      <c r="Z25" s="1038"/>
      <c r="AA25" s="1038"/>
      <c r="AB25" s="1038"/>
      <c r="AC25" s="1038"/>
      <c r="AD25" s="1038"/>
      <c r="AE25" s="1039"/>
      <c r="AF25" s="223"/>
    </row>
    <row r="26" spans="1:32" s="3" customFormat="1" ht="30" customHeight="1">
      <c r="A26" s="1070" t="s">
        <v>1267</v>
      </c>
      <c r="B26" s="1071"/>
      <c r="C26" s="1072"/>
      <c r="D26" s="1073"/>
      <c r="E26" s="1074"/>
      <c r="F26" s="1074"/>
      <c r="G26" s="1074"/>
      <c r="H26" s="1074"/>
      <c r="I26" s="1074"/>
      <c r="J26" s="1074"/>
      <c r="K26" s="1074"/>
      <c r="L26" s="1074"/>
      <c r="M26" s="1074"/>
      <c r="N26" s="1074"/>
      <c r="O26" s="1074"/>
      <c r="P26" s="1074"/>
      <c r="Q26" s="1074"/>
      <c r="R26" s="1074"/>
      <c r="S26" s="1074"/>
      <c r="T26" s="1074"/>
      <c r="U26" s="1074"/>
      <c r="V26" s="1074"/>
      <c r="W26" s="1074"/>
      <c r="X26" s="1074"/>
      <c r="Y26" s="1074"/>
      <c r="Z26" s="1074"/>
      <c r="AA26" s="1074"/>
      <c r="AB26" s="1074"/>
      <c r="AC26" s="1074"/>
      <c r="AD26" s="1074"/>
      <c r="AE26" s="1075"/>
      <c r="AF26" s="239" t="str">
        <f>IF($AB$11="有","",IF(D26="","←学校法人名を記入してください",""))</f>
        <v>←学校法人名を記入してください</v>
      </c>
    </row>
    <row r="27" spans="1:32" s="3" customFormat="1" ht="30" customHeight="1" thickBot="1">
      <c r="A27" s="1076" t="s">
        <v>1280</v>
      </c>
      <c r="B27" s="1077"/>
      <c r="C27" s="1078"/>
      <c r="D27" s="1079"/>
      <c r="E27" s="1080"/>
      <c r="F27" s="1080"/>
      <c r="G27" s="1080"/>
      <c r="H27" s="1080"/>
      <c r="I27" s="1080"/>
      <c r="J27" s="1080"/>
      <c r="K27" s="1080"/>
      <c r="L27" s="1080"/>
      <c r="M27" s="1080"/>
      <c r="N27" s="1080"/>
      <c r="O27" s="1080"/>
      <c r="P27" s="1081"/>
      <c r="Q27" s="1082" t="s">
        <v>2</v>
      </c>
      <c r="R27" s="1083"/>
      <c r="S27" s="1084"/>
      <c r="T27" s="1085"/>
      <c r="U27" s="1086"/>
      <c r="V27" s="1086"/>
      <c r="W27" s="1086"/>
      <c r="X27" s="1086"/>
      <c r="Y27" s="1086"/>
      <c r="Z27" s="1086"/>
      <c r="AA27" s="1086"/>
      <c r="AB27" s="1086"/>
      <c r="AC27" s="1086"/>
      <c r="AD27" s="1086"/>
      <c r="AE27" s="1087"/>
      <c r="AF27" s="601" t="str">
        <f>IF($AB$11="有","",IF(D27="","←法人所在地を記入してください",IF(T27="","←理事長名を記入してください","")))</f>
        <v>←法人所在地を記入してください</v>
      </c>
    </row>
    <row r="28" spans="1:32" s="3" customFormat="1" ht="4.5" customHeight="1" thickBot="1">
      <c r="A28" s="216"/>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601"/>
    </row>
    <row r="29" spans="1:32" s="3" customFormat="1" ht="30" customHeight="1" thickBot="1">
      <c r="A29" s="1052" t="s">
        <v>1281</v>
      </c>
      <c r="B29" s="1053"/>
      <c r="C29" s="1054"/>
      <c r="D29" s="1055"/>
      <c r="E29" s="1056"/>
      <c r="F29" s="1056"/>
      <c r="G29" s="1056"/>
      <c r="H29" s="1056"/>
      <c r="I29" s="1056"/>
      <c r="J29" s="1056"/>
      <c r="K29" s="1056"/>
      <c r="L29" s="1056"/>
      <c r="M29" s="1056"/>
      <c r="N29" s="1056"/>
      <c r="O29" s="1056"/>
      <c r="P29" s="1057"/>
      <c r="Q29" s="1058" t="s">
        <v>5</v>
      </c>
      <c r="R29" s="1058"/>
      <c r="S29" s="1059"/>
      <c r="T29" s="1060"/>
      <c r="U29" s="1061"/>
      <c r="V29" s="1061"/>
      <c r="W29" s="1061"/>
      <c r="X29" s="1061"/>
      <c r="Y29" s="1061"/>
      <c r="Z29" s="1061"/>
      <c r="AA29" s="1061"/>
      <c r="AB29" s="1061"/>
      <c r="AC29" s="1061"/>
      <c r="AD29" s="1061"/>
      <c r="AE29" s="1062"/>
      <c r="AF29" s="601" t="str">
        <f>IF($AB$11="有","",IF(D29="","←学校所在地を記入してください",IF(T29="","←校長名を記入してください","")))</f>
        <v>←学校所在地を記入してください</v>
      </c>
    </row>
    <row r="30" spans="1:32" s="3" customFormat="1" ht="4.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223"/>
    </row>
    <row r="31" spans="1:32" s="3" customFormat="1" ht="4.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223"/>
    </row>
    <row r="32" spans="1:32" s="3" customFormat="1" ht="32.25" customHeight="1" thickBot="1">
      <c r="A32" s="1013" t="s">
        <v>1268</v>
      </c>
      <c r="B32" s="1013"/>
      <c r="C32" s="1013"/>
      <c r="D32" s="1013"/>
      <c r="E32" s="1013"/>
      <c r="F32" s="1013"/>
      <c r="G32" s="1013"/>
      <c r="H32" s="1013"/>
      <c r="I32" s="1013"/>
      <c r="J32" s="1013"/>
      <c r="K32" s="1013"/>
      <c r="L32" s="1013"/>
      <c r="M32" s="1013"/>
      <c r="N32" s="1013"/>
      <c r="O32" s="1013"/>
      <c r="P32" s="1013"/>
      <c r="Q32" s="1013"/>
      <c r="R32" s="1013"/>
      <c r="S32" s="1013"/>
      <c r="T32" s="1013"/>
      <c r="U32" s="1013"/>
      <c r="V32" s="1013"/>
      <c r="W32" s="1013"/>
      <c r="X32" s="1013"/>
      <c r="Y32" s="1013"/>
      <c r="Z32" s="1013"/>
      <c r="AA32" s="1013"/>
      <c r="AB32" s="1013"/>
      <c r="AC32" s="1013"/>
      <c r="AD32" s="1013"/>
      <c r="AE32" s="1013"/>
      <c r="AF32" s="223"/>
    </row>
    <row r="33" spans="1:33" s="3" customFormat="1" ht="30" customHeight="1" thickBot="1">
      <c r="A33" s="1017" t="s">
        <v>1250</v>
      </c>
      <c r="B33" s="1018"/>
      <c r="C33" s="1019" t="s">
        <v>1251</v>
      </c>
      <c r="D33" s="1020"/>
      <c r="E33" s="1020"/>
      <c r="F33" s="1020"/>
      <c r="G33" s="1020"/>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1"/>
      <c r="AF33" s="223"/>
    </row>
    <row r="34" spans="1:33" s="3" customFormat="1" ht="50.1" customHeight="1" thickBot="1">
      <c r="A34" s="1025"/>
      <c r="B34" s="1026"/>
      <c r="C34" s="1022"/>
      <c r="D34" s="1023"/>
      <c r="E34" s="1023"/>
      <c r="F34" s="1023"/>
      <c r="G34" s="1023"/>
      <c r="H34" s="1023"/>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3"/>
      <c r="AE34" s="1024"/>
      <c r="AF34" s="239" t="str">
        <f>IF($AB$11="有","",
IF(A34="","←事業団からのデータ提供に同意いただける場合には、チェックを入れてください",""))</f>
        <v>←事業団からのデータ提供に同意いただける場合には、チェックを入れてください</v>
      </c>
    </row>
    <row r="35" spans="1:33" s="3" customFormat="1" ht="4.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223"/>
    </row>
    <row r="36" spans="1:33" s="3" customFormat="1" ht="4.5" customHeight="1">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23"/>
    </row>
    <row r="37" spans="1:33" s="3" customFormat="1" ht="4.5" customHeight="1">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23"/>
    </row>
    <row r="38" spans="1:33" s="4" customFormat="1" ht="31.5" customHeight="1">
      <c r="A38" s="13"/>
      <c r="B38" s="11"/>
      <c r="C38" s="929" t="s">
        <v>1259</v>
      </c>
      <c r="D38" s="929"/>
      <c r="E38" s="929"/>
      <c r="F38" s="929"/>
      <c r="G38" s="929"/>
      <c r="H38" s="929"/>
      <c r="I38" s="929"/>
      <c r="J38" s="929"/>
      <c r="K38" s="929"/>
      <c r="L38" s="929"/>
      <c r="M38" s="929"/>
      <c r="N38" s="929"/>
      <c r="O38" s="929"/>
      <c r="P38" s="929"/>
      <c r="Q38" s="929"/>
      <c r="R38" s="929"/>
      <c r="S38" s="16"/>
      <c r="T38" s="162"/>
      <c r="U38" s="162"/>
      <c r="V38" s="930" t="s">
        <v>1282</v>
      </c>
      <c r="W38" s="930"/>
      <c r="X38" s="930"/>
      <c r="Y38" s="930"/>
      <c r="Z38" s="930"/>
      <c r="AA38" s="930"/>
      <c r="AB38" s="930"/>
      <c r="AC38" s="930"/>
      <c r="AD38" s="930"/>
      <c r="AE38" s="165"/>
      <c r="AF38" s="224"/>
      <c r="AG38" s="927" t="str">
        <f>IF(OR(AND(OR($AB$11="有",$A$34="✔"),$Z$10="定時制"),
AND(OR($AB$11="有",$A$34="✔"),OR($Z$10="↑④に変更がある場合は選択",$Z$10=""),$Z$9="定時制")),"本票回答不要",
IF(OR(AND(OR($AB$11="有",$A$34="✔"),$Z$10="定/専攻科"),
AND(OR($AB$11="有",$A$34="✔"),OR($Z$10="↑④に変更がある場合は選択",$Z$10=""),$Z$9="定/専攻科")),"本票Ⅰ生徒数のみ回答必要",
IF(AND(OR($AB$11="有",$A$34="✔"),OR($Z$10="定/通/専")),"本票Ⅰ生徒数・Ⅵ回答必要",
IF(AND(OR($AB$11="有",$A$34="✔"),OR($Z$10="↑④に変更がある場合は選択",$Z$10=""),OR($Z$9="定/通/専")),"本票Ⅰ生徒数・Ⅵ回答必要",
IF(AND(OR($AB$11="有",$A$34="✔"),OR($Z$10="全/定時制",$Z$10="定/通信制",$Z$10="全/定/通",$Z$10="全/定/専",$Z$10="全/定/通/専")),"本票Ⅵのみ回答必要",
IF(AND(OR($AB$11="有",$A$34="✔"),OR($Z$10="↑④に変更がある場合は選択",$Z$10=""),OR($Z$9="全/定時制",$Z$9="定/通信制",$Z$9="全/定/通",$Z$9="全/定/専",$Z$9="全/定/通/専")),"本票Ⅵのみ回答必要",""))))))</f>
        <v/>
      </c>
    </row>
    <row r="39" spans="1:33" s="4" customFormat="1" ht="15" customHeight="1">
      <c r="A39" s="13"/>
      <c r="B39" s="11"/>
      <c r="C39" s="929"/>
      <c r="D39" s="929"/>
      <c r="E39" s="929"/>
      <c r="F39" s="929"/>
      <c r="G39" s="929"/>
      <c r="H39" s="929"/>
      <c r="I39" s="929"/>
      <c r="J39" s="929"/>
      <c r="K39" s="929"/>
      <c r="L39" s="929"/>
      <c r="M39" s="929"/>
      <c r="N39" s="929"/>
      <c r="O39" s="929"/>
      <c r="P39" s="929"/>
      <c r="Q39" s="929"/>
      <c r="R39" s="929"/>
      <c r="S39" s="16"/>
      <c r="T39" s="162"/>
      <c r="U39" s="162"/>
      <c r="V39" s="931" t="s">
        <v>1218</v>
      </c>
      <c r="W39" s="931"/>
      <c r="X39" s="932"/>
      <c r="Y39" s="166"/>
      <c r="Z39" s="166"/>
      <c r="AA39" s="166"/>
      <c r="AB39" s="166"/>
      <c r="AC39" s="166"/>
      <c r="AD39" s="167"/>
      <c r="AE39" s="165"/>
      <c r="AF39" s="224"/>
      <c r="AG39" s="927"/>
    </row>
    <row r="40" spans="1:33" s="4" customFormat="1" ht="15" customHeight="1" thickBot="1">
      <c r="A40" s="13"/>
      <c r="B40" s="11"/>
      <c r="C40" s="929"/>
      <c r="D40" s="929"/>
      <c r="E40" s="929"/>
      <c r="F40" s="929"/>
      <c r="G40" s="929"/>
      <c r="H40" s="929"/>
      <c r="I40" s="929"/>
      <c r="J40" s="929"/>
      <c r="K40" s="929"/>
      <c r="L40" s="929"/>
      <c r="M40" s="929"/>
      <c r="N40" s="929"/>
      <c r="O40" s="929"/>
      <c r="P40" s="929"/>
      <c r="Q40" s="929"/>
      <c r="R40" s="929"/>
      <c r="S40" s="16"/>
      <c r="T40" s="162"/>
      <c r="U40" s="162"/>
      <c r="V40" s="933"/>
      <c r="W40" s="933"/>
      <c r="X40" s="934"/>
      <c r="Y40" s="935" t="s">
        <v>1219</v>
      </c>
      <c r="Z40" s="936"/>
      <c r="AA40" s="937"/>
      <c r="AB40" s="938" t="s">
        <v>1220</v>
      </c>
      <c r="AC40" s="939"/>
      <c r="AD40" s="939"/>
      <c r="AE40" s="165"/>
      <c r="AF40" s="224"/>
      <c r="AG40" s="927"/>
    </row>
    <row r="41" spans="1:33" s="4" customFormat="1" ht="9.75" customHeight="1">
      <c r="A41" s="13"/>
      <c r="B41" s="11"/>
      <c r="C41" s="14"/>
      <c r="D41" s="14"/>
      <c r="E41" s="14"/>
      <c r="F41" s="14"/>
      <c r="G41" s="14"/>
      <c r="H41" s="14"/>
      <c r="I41" s="14"/>
      <c r="J41" s="14"/>
      <c r="K41" s="14"/>
      <c r="L41" s="14"/>
      <c r="M41" s="14"/>
      <c r="N41" s="15"/>
      <c r="O41" s="16"/>
      <c r="P41" s="16"/>
      <c r="Q41" s="16"/>
      <c r="R41" s="16"/>
      <c r="S41" s="16"/>
      <c r="T41" s="162"/>
      <c r="U41" s="162"/>
      <c r="V41" s="940">
        <f>SUM(Y41,AB41)</f>
        <v>0</v>
      </c>
      <c r="W41" s="941"/>
      <c r="X41" s="162"/>
      <c r="Y41" s="944"/>
      <c r="Z41" s="945"/>
      <c r="AA41" s="169"/>
      <c r="AB41" s="948"/>
      <c r="AC41" s="949"/>
      <c r="AD41" s="171"/>
      <c r="AE41" s="165"/>
      <c r="AF41" s="224"/>
    </row>
    <row r="42" spans="1:33" s="4" customFormat="1" ht="15" customHeight="1" thickBot="1">
      <c r="A42" s="13"/>
      <c r="B42" s="11"/>
      <c r="C42" s="14"/>
      <c r="D42" s="14"/>
      <c r="E42" s="14"/>
      <c r="F42" s="14"/>
      <c r="G42" s="14"/>
      <c r="H42" s="14"/>
      <c r="I42" s="14"/>
      <c r="J42" s="14"/>
      <c r="K42" s="14"/>
      <c r="L42" s="14"/>
      <c r="M42" s="14"/>
      <c r="N42" s="15"/>
      <c r="O42" s="16"/>
      <c r="P42" s="16"/>
      <c r="Q42" s="16"/>
      <c r="R42" s="16"/>
      <c r="S42" s="16"/>
      <c r="T42" s="162"/>
      <c r="U42" s="162"/>
      <c r="V42" s="942"/>
      <c r="W42" s="943"/>
      <c r="X42" s="168" t="s">
        <v>372</v>
      </c>
      <c r="Y42" s="946"/>
      <c r="Z42" s="947"/>
      <c r="AA42" s="170" t="s">
        <v>372</v>
      </c>
      <c r="AB42" s="950"/>
      <c r="AC42" s="951"/>
      <c r="AD42" s="172" t="s">
        <v>372</v>
      </c>
      <c r="AE42" s="165"/>
      <c r="AF42" s="612" t="str">
        <f>IF(OR($AG$38="本票回答不要",$AG$38="本票Ⅵのみ回答必要"),"",
IF(V41="","←男女別生徒数を記入してください。いない場合は「0」と記入してください。",
IF(Y41="","←男子生徒数を記入してください。いない場合は「0」と記入してください。",
IF(AB41="","←女子生徒数を記入してください。いない場合は「0」と記入してください。",
IF(AND($AG$9=0,V41&lt;&gt;Z52),"←男女別生徒数計が現員総数と一致しません。",
"")))))</f>
        <v>←男子生徒数を記入してください。いない場合は「0」と記入してください。</v>
      </c>
    </row>
    <row r="43" spans="1:33" s="4" customFormat="1" ht="5.0999999999999996" customHeight="1">
      <c r="A43" s="13"/>
      <c r="B43" s="11"/>
      <c r="C43" s="14"/>
      <c r="D43" s="14"/>
      <c r="E43" s="14"/>
      <c r="F43" s="14"/>
      <c r="G43" s="14"/>
      <c r="H43" s="14"/>
      <c r="I43" s="14"/>
      <c r="J43" s="14"/>
      <c r="K43" s="14"/>
      <c r="L43" s="14"/>
      <c r="M43" s="14"/>
      <c r="N43" s="15"/>
      <c r="O43" s="16"/>
      <c r="P43" s="16"/>
      <c r="Q43" s="16"/>
      <c r="R43" s="16"/>
      <c r="S43" s="16"/>
      <c r="T43" s="162"/>
      <c r="U43" s="162"/>
      <c r="V43" s="162"/>
      <c r="W43" s="162"/>
      <c r="X43" s="162"/>
      <c r="Y43" s="162"/>
      <c r="Z43" s="165"/>
      <c r="AA43" s="165"/>
      <c r="AB43" s="165"/>
      <c r="AC43" s="165"/>
      <c r="AD43" s="165"/>
      <c r="AE43" s="165"/>
      <c r="AF43" s="224"/>
    </row>
    <row r="44" spans="1:33" s="4" customFormat="1" ht="5.0999999999999996" customHeight="1">
      <c r="A44" s="13"/>
      <c r="B44" s="11"/>
      <c r="C44" s="14"/>
      <c r="D44" s="14"/>
      <c r="E44" s="14"/>
      <c r="F44" s="14"/>
      <c r="G44" s="14"/>
      <c r="H44" s="14"/>
      <c r="I44" s="14"/>
      <c r="J44" s="14"/>
      <c r="K44" s="14"/>
      <c r="L44" s="14"/>
      <c r="M44" s="14"/>
      <c r="N44" s="15"/>
      <c r="O44" s="16"/>
      <c r="P44" s="16"/>
      <c r="Q44" s="16"/>
      <c r="R44" s="16"/>
      <c r="S44" s="16"/>
      <c r="T44" s="162"/>
      <c r="U44" s="162"/>
      <c r="V44" s="162"/>
      <c r="W44" s="162"/>
      <c r="X44" s="162"/>
      <c r="Y44" s="162"/>
      <c r="Z44" s="165"/>
      <c r="AA44" s="165"/>
      <c r="AB44" s="165"/>
      <c r="AC44" s="165"/>
      <c r="AD44" s="165"/>
      <c r="AE44" s="165"/>
      <c r="AF44" s="224"/>
    </row>
    <row r="45" spans="1:33" s="4" customFormat="1" ht="5.0999999999999996" customHeight="1">
      <c r="A45" s="13"/>
      <c r="B45" s="11"/>
      <c r="C45" s="14"/>
      <c r="D45" s="14"/>
      <c r="E45" s="14"/>
      <c r="F45" s="14"/>
      <c r="G45" s="14"/>
      <c r="H45" s="14"/>
      <c r="I45" s="14"/>
      <c r="J45" s="14"/>
      <c r="K45" s="14"/>
      <c r="L45" s="14"/>
      <c r="M45" s="14"/>
      <c r="N45" s="15"/>
      <c r="O45" s="16"/>
      <c r="P45" s="16"/>
      <c r="Q45" s="16"/>
      <c r="R45" s="16"/>
      <c r="S45" s="16"/>
      <c r="T45" s="162"/>
      <c r="U45" s="162"/>
      <c r="V45" s="162"/>
      <c r="W45" s="162"/>
      <c r="X45" s="162"/>
      <c r="Y45" s="162"/>
      <c r="Z45" s="165"/>
      <c r="AA45" s="165"/>
      <c r="AB45" s="165"/>
      <c r="AC45" s="165"/>
      <c r="AD45" s="165"/>
      <c r="AE45" s="165"/>
      <c r="AF45" s="224"/>
    </row>
    <row r="46" spans="1:33" s="3" customFormat="1" ht="15" customHeight="1" thickBot="1">
      <c r="A46" s="207" t="s">
        <v>1263</v>
      </c>
      <c r="B46" s="37"/>
      <c r="C46" s="37"/>
      <c r="D46" s="37"/>
      <c r="E46" s="37"/>
      <c r="F46" s="37"/>
      <c r="G46" s="37"/>
      <c r="H46" s="37"/>
      <c r="I46" s="37"/>
      <c r="J46" s="37"/>
      <c r="K46" s="37"/>
      <c r="L46" s="10"/>
      <c r="M46" s="10"/>
      <c r="N46" s="10"/>
      <c r="O46" s="17"/>
      <c r="P46" s="18"/>
      <c r="Q46" s="18"/>
      <c r="R46" s="18"/>
      <c r="S46" s="18"/>
      <c r="T46" s="18" t="s">
        <v>111</v>
      </c>
      <c r="U46" s="205"/>
      <c r="V46" s="205"/>
      <c r="W46" s="205"/>
      <c r="X46" s="205"/>
      <c r="Y46" s="205"/>
      <c r="Z46" s="19"/>
      <c r="AA46" s="25" t="s">
        <v>7</v>
      </c>
      <c r="AB46" s="17"/>
      <c r="AC46" s="37"/>
      <c r="AD46" s="37"/>
      <c r="AE46" s="37"/>
      <c r="AF46" s="924"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row>
    <row r="47" spans="1:33" s="3" customFormat="1" ht="13.15" customHeight="1">
      <c r="A47" s="952" t="s">
        <v>12</v>
      </c>
      <c r="B47" s="953"/>
      <c r="C47" s="954"/>
      <c r="D47" s="961" t="s">
        <v>1260</v>
      </c>
      <c r="E47" s="962"/>
      <c r="F47" s="962"/>
      <c r="G47" s="962"/>
      <c r="H47" s="962"/>
      <c r="I47" s="962"/>
      <c r="J47" s="962"/>
      <c r="K47" s="962"/>
      <c r="L47" s="962"/>
      <c r="M47" s="962"/>
      <c r="N47" s="962"/>
      <c r="O47" s="962"/>
      <c r="P47" s="1014" t="s">
        <v>19</v>
      </c>
      <c r="Q47" s="1015"/>
      <c r="R47" s="1015"/>
      <c r="S47" s="1015"/>
      <c r="T47" s="1015"/>
      <c r="U47" s="1015"/>
      <c r="V47" s="1015"/>
      <c r="W47" s="1015"/>
      <c r="X47" s="1015"/>
      <c r="Y47" s="1015"/>
      <c r="Z47" s="1015"/>
      <c r="AA47" s="1016"/>
      <c r="AB47" s="163"/>
      <c r="AC47" s="161"/>
      <c r="AD47" s="161"/>
      <c r="AE47" s="159"/>
      <c r="AF47" s="924"/>
    </row>
    <row r="48" spans="1:33" s="3" customFormat="1" ht="9" customHeight="1">
      <c r="A48" s="955"/>
      <c r="B48" s="956"/>
      <c r="C48" s="957"/>
      <c r="D48" s="1012" t="s">
        <v>1221</v>
      </c>
      <c r="E48" s="1012"/>
      <c r="F48" s="1012"/>
      <c r="G48" s="1012" t="s">
        <v>1222</v>
      </c>
      <c r="H48" s="1012"/>
      <c r="I48" s="1012"/>
      <c r="J48" s="1012" t="s">
        <v>1223</v>
      </c>
      <c r="K48" s="1012"/>
      <c r="L48" s="1012"/>
      <c r="M48" s="1012" t="s">
        <v>8</v>
      </c>
      <c r="N48" s="1012"/>
      <c r="O48" s="1012"/>
      <c r="P48" s="1012" t="s">
        <v>1224</v>
      </c>
      <c r="Q48" s="1012"/>
      <c r="R48" s="1398" t="s">
        <v>1227</v>
      </c>
      <c r="S48" s="1399"/>
      <c r="T48" s="1034" t="s">
        <v>1228</v>
      </c>
      <c r="U48" s="1034"/>
      <c r="V48" s="1130" t="s">
        <v>1229</v>
      </c>
      <c r="W48" s="1130"/>
      <c r="X48" s="1130" t="s">
        <v>1230</v>
      </c>
      <c r="Y48" s="1130"/>
      <c r="Z48" s="1382" t="s">
        <v>1215</v>
      </c>
      <c r="AA48" s="1383"/>
      <c r="AB48" s="10"/>
      <c r="AC48" s="10"/>
      <c r="AD48" s="10"/>
      <c r="AE48" s="10"/>
      <c r="AF48" s="928" t="str">
        <f>IF(OR($AG$38="本票回答不要",$AG$38="本票Ⅵのみ回答必要",$AG$38="本票Ⅰ生徒数のみ回答必要",$AG$38="本票Ⅰ生徒数・Ⅵ回答必要"),"",
IF(COUNTA(B61,B63,D53:O64,R53:Y64)=0,"←設置学科の入学状況・生徒数を入力してください",
""))</f>
        <v>←設置学科の入学状況・生徒数を入力してください</v>
      </c>
    </row>
    <row r="49" spans="1:33" s="3" customFormat="1" ht="9" customHeight="1">
      <c r="A49" s="955"/>
      <c r="B49" s="956"/>
      <c r="C49" s="957"/>
      <c r="D49" s="1012"/>
      <c r="E49" s="1012"/>
      <c r="F49" s="1012"/>
      <c r="G49" s="1012"/>
      <c r="H49" s="1012"/>
      <c r="I49" s="1012"/>
      <c r="J49" s="1012"/>
      <c r="K49" s="1012"/>
      <c r="L49" s="1012"/>
      <c r="M49" s="1012"/>
      <c r="N49" s="1012"/>
      <c r="O49" s="1012"/>
      <c r="P49" s="1012"/>
      <c r="Q49" s="1012"/>
      <c r="R49" s="1400"/>
      <c r="S49" s="1401"/>
      <c r="T49" s="1035"/>
      <c r="U49" s="1035"/>
      <c r="V49" s="1131"/>
      <c r="W49" s="1131"/>
      <c r="X49" s="1131"/>
      <c r="Y49" s="1131"/>
      <c r="Z49" s="956"/>
      <c r="AA49" s="1384"/>
      <c r="AB49" s="10"/>
      <c r="AC49" s="10"/>
      <c r="AD49" s="10"/>
      <c r="AE49" s="37"/>
      <c r="AF49" s="928"/>
    </row>
    <row r="50" spans="1:33" s="3" customFormat="1" ht="9" customHeight="1">
      <c r="A50" s="958"/>
      <c r="B50" s="959"/>
      <c r="C50" s="960"/>
      <c r="D50" s="1012"/>
      <c r="E50" s="1012"/>
      <c r="F50" s="1012"/>
      <c r="G50" s="1012"/>
      <c r="H50" s="1012"/>
      <c r="I50" s="1012"/>
      <c r="J50" s="1012"/>
      <c r="K50" s="1012"/>
      <c r="L50" s="1012"/>
      <c r="M50" s="1012"/>
      <c r="N50" s="1012"/>
      <c r="O50" s="1012"/>
      <c r="P50" s="1012"/>
      <c r="Q50" s="1012"/>
      <c r="R50" s="1402"/>
      <c r="S50" s="1403"/>
      <c r="T50" s="1036"/>
      <c r="U50" s="1036"/>
      <c r="V50" s="1132"/>
      <c r="W50" s="1132"/>
      <c r="X50" s="1132"/>
      <c r="Y50" s="1132"/>
      <c r="Z50" s="959"/>
      <c r="AA50" s="1181"/>
      <c r="AB50" s="10"/>
      <c r="AC50" s="10"/>
      <c r="AD50" s="10"/>
      <c r="AE50" s="10"/>
      <c r="AF50" s="928"/>
    </row>
    <row r="51" spans="1:33" s="3" customFormat="1" ht="18" customHeight="1" thickBot="1">
      <c r="A51" s="1385" t="s">
        <v>1215</v>
      </c>
      <c r="B51" s="1386"/>
      <c r="C51" s="1387"/>
      <c r="D51" s="1391">
        <f>SUM(D53:F64)</f>
        <v>0</v>
      </c>
      <c r="E51" s="1391"/>
      <c r="F51" s="1391"/>
      <c r="G51" s="1391">
        <f t="shared" ref="G51" si="0">SUM(G53:I64)</f>
        <v>0</v>
      </c>
      <c r="H51" s="1391"/>
      <c r="I51" s="1391"/>
      <c r="J51" s="1391">
        <f t="shared" ref="J51" si="1">SUM(J53:L64)</f>
        <v>0</v>
      </c>
      <c r="K51" s="1391"/>
      <c r="L51" s="1391"/>
      <c r="M51" s="1391">
        <f t="shared" ref="M51" si="2">SUM(M53:O64)</f>
        <v>0</v>
      </c>
      <c r="N51" s="1391"/>
      <c r="O51" s="1391"/>
      <c r="P51" s="1392" t="s">
        <v>1225</v>
      </c>
      <c r="Q51" s="1393"/>
      <c r="R51" s="1394">
        <f>SUM(R53,R55,R57,R59,R61,R63)</f>
        <v>0</v>
      </c>
      <c r="S51" s="1395"/>
      <c r="T51" s="1396">
        <f t="shared" ref="T51" si="3">SUM(T53,T55,T57,T59,T61,T63)</f>
        <v>0</v>
      </c>
      <c r="U51" s="1396"/>
      <c r="V51" s="1396">
        <f t="shared" ref="V51" si="4">SUM(V53,V55,V57,V59,V61,V63)</f>
        <v>0</v>
      </c>
      <c r="W51" s="1396"/>
      <c r="X51" s="1396">
        <f t="shared" ref="X51" si="5">SUM(X53,X55,X57,X59,X61,X63)</f>
        <v>0</v>
      </c>
      <c r="Y51" s="1396"/>
      <c r="Z51" s="1135">
        <f t="shared" ref="Z51:Z64" si="6">SUM(R51:X51)</f>
        <v>0</v>
      </c>
      <c r="AA51" s="1397"/>
      <c r="AB51" s="164"/>
      <c r="AC51" s="10"/>
      <c r="AD51" s="10"/>
      <c r="AE51" s="158"/>
      <c r="AF51" s="613" t="str">
        <f>IF(OR($AG$38="本票回答不要",$AG$38="本票Ⅵのみ回答必要",$AG$38="本票Ⅰ生徒数のみ回答必要",$AG$38="本票Ⅰ生徒数・Ⅵ回答必要"),"",
IF(D51&lt;&gt;SUM(D53:F64),"←入学志願者数計が学科別内訳の計と一致しません。",
IF(G51&lt;&gt;SUM(G53:I64),"←受験者数計が学科別内訳の計と一致しません。",
IF(J51&lt;&gt;SUM(J53:L64),"←合格者数計が学科別内訳の計と一致しません。",
IF(M51&lt;&gt;SUM(M53:O64),"←入学者数計が学科別内訳の計と一致しません。",
IF(Z51&lt;&gt;SUM(Z53,Z55,Z57,Z59,Z61,Z63),"←定員・生徒数計が学年別内訳計と一致しません。",
IF(R51&lt;&gt;SUM(R53,R55,R57,R59,R61,R63),"←定員・１年生計が学科別内訳計と一致しません。",
IF(T51&lt;&gt;SUM(T53,T55,T57,T59,T61,T63),"←定員・２年生計が学科別内訳計と一致しません。",
IF(V51&lt;&gt;SUM(V53,V55,V57,V59,V61,V63),"←定員・３年生計が学科別内訳計と一致しません。",
IF(X51&lt;&gt;SUM(X53,X55,X57,X59,X61,X63),"←定員・４年生計が学科別内訳計と一致しません。",
""))))))))))</f>
        <v/>
      </c>
    </row>
    <row r="52" spans="1:33" s="3" customFormat="1" ht="18" customHeight="1" thickBot="1">
      <c r="A52" s="1388"/>
      <c r="B52" s="1389"/>
      <c r="C52" s="1390"/>
      <c r="D52" s="1391"/>
      <c r="E52" s="1391"/>
      <c r="F52" s="1391"/>
      <c r="G52" s="1391"/>
      <c r="H52" s="1391"/>
      <c r="I52" s="1391"/>
      <c r="J52" s="1391"/>
      <c r="K52" s="1391"/>
      <c r="L52" s="1391"/>
      <c r="M52" s="1391"/>
      <c r="N52" s="1391"/>
      <c r="O52" s="1391"/>
      <c r="P52" s="964" t="s">
        <v>1226</v>
      </c>
      <c r="Q52" s="964"/>
      <c r="R52" s="999">
        <f t="shared" ref="R52" si="7">SUM(R54,R56,R58,R60,R62,R64)</f>
        <v>0</v>
      </c>
      <c r="S52" s="1000"/>
      <c r="T52" s="1001">
        <f t="shared" ref="T52" si="8">SUM(T54,T56,T58,T60,T62,T64)</f>
        <v>0</v>
      </c>
      <c r="U52" s="1001"/>
      <c r="V52" s="1001">
        <f t="shared" ref="V52" si="9">SUM(V54,V56,V58,V60,V62,V64)</f>
        <v>0</v>
      </c>
      <c r="W52" s="1001"/>
      <c r="X52" s="1001">
        <f t="shared" ref="X52" si="10">SUM(X54,X56,X58,X60,X62,X64)</f>
        <v>0</v>
      </c>
      <c r="Y52" s="920"/>
      <c r="Z52" s="1380">
        <f t="shared" si="6"/>
        <v>0</v>
      </c>
      <c r="AA52" s="1381"/>
      <c r="AB52" s="164"/>
      <c r="AC52" s="10"/>
      <c r="AD52" s="10"/>
      <c r="AE52" s="158"/>
      <c r="AF52" s="613" t="str">
        <f>IF(OR($AG$38="本票回答不要",$AG$38="本票Ⅵのみ回答必要",$AG$38="本票Ⅰ生徒数のみ回答必要",$AG$38="本票Ⅰ生徒数・Ⅵ回答必要"),"",
IF(Z52&lt;&gt;SUM(Z54,Z56,Z58,Z60,Z62,Z64),"←生徒数計が学年別内訳計と一致しません。",
IF(R52&lt;&gt;SUM(R54,R56,R58,R60,R62,R64),"←１年生計が学科別内訳計と一致しません。",
IF(T52&lt;&gt;SUM(T54,T56,T58,T60,T62,T64),"←２年生計が学科別内訳計と一致しません。",
IF(V52&lt;&gt;SUM(V54,V56,V58,V60,V62,V64),"←３年生計が学科別内訳計と一致しません。",
IF(X52&lt;&gt;SUM(X54,X56,X58,X60,X62,X64),"←４年生計が学科別内訳計と一致しません。",
""))))))</f>
        <v/>
      </c>
    </row>
    <row r="53" spans="1:33" s="3" customFormat="1" ht="24.75" customHeight="1">
      <c r="A53" s="1027" t="s">
        <v>58</v>
      </c>
      <c r="B53" s="1006"/>
      <c r="C53" s="1028"/>
      <c r="D53" s="923"/>
      <c r="E53" s="923"/>
      <c r="F53" s="923"/>
      <c r="G53" s="923"/>
      <c r="H53" s="923"/>
      <c r="I53" s="923"/>
      <c r="J53" s="923"/>
      <c r="K53" s="923"/>
      <c r="L53" s="923"/>
      <c r="M53" s="923"/>
      <c r="N53" s="923"/>
      <c r="O53" s="923"/>
      <c r="P53" s="1155" t="s">
        <v>1225</v>
      </c>
      <c r="Q53" s="1156"/>
      <c r="R53" s="1146"/>
      <c r="S53" s="1147"/>
      <c r="T53" s="1002"/>
      <c r="U53" s="1002"/>
      <c r="V53" s="1002"/>
      <c r="W53" s="1002"/>
      <c r="X53" s="1002"/>
      <c r="Y53" s="1002"/>
      <c r="Z53" s="1133">
        <f t="shared" si="6"/>
        <v>0</v>
      </c>
      <c r="AA53" s="1134"/>
      <c r="AB53" s="164"/>
      <c r="AC53" s="10"/>
      <c r="AD53" s="10"/>
      <c r="AE53" s="160"/>
      <c r="AF53" s="614" t="str">
        <f>IF(OR($AG$38="本票回答不要",$AG$38="本票Ⅵのみ回答必要",$AG$38="本票Ⅰ生徒数のみ回答必要",$AG$38="本票Ⅰ生徒数・Ⅵ回答必要"),"",
IF(COUNTA(D53:O54,R53:Y54)=0,"",
IF(D53="","←入学志願者数を記入してください。(募集停止校の場合は「0」を入力してください。)",
IF(G53="","←受験者数を記入してください。(募集停止校の場合は「0」を入力してください。)",
IF(J53="","←合格者数を記入してください。(募集停止校の場合は「0」を入力してください。)",
IF(M53="","←入学者数を記入してください。(募集停止校の場合は「0」を入力してください。)",
IF(AND(R53="",T53="",V53="",X53=""),"←学年別定員を記入してください。（募集停止校の場合は「0」を入力してください。）",
IF(R53="","←1年生の定員が未記入です。（募集停止校の場合は「0」を入力してください。）",
IF(T53="","←2年生の定員が未記入です。（募集停止校の場合は「0」を入力してください。）",
IF(V53="","←3年生の定員が未記入です。（募集停止校の場合は「0」を入力してください。）",
IF(X53="","←4年生の定員が未記入です。（募集停止校の場合は「0」を入力してください。）",
IF(D53&lt;G53,"←入学志願者より受験者が多くなっています。",
IF(G53&lt;J53,"←受験者より合格者が多くなっています。",
IF(J53&lt;M53,"←合格者数より入学者数が多くなっています。（合格者には追加・内部進学者数等も含めてください。正しい場合は構いません。）",
IF(AND(R54&lt;&gt;"",M53&gt;R54),"←入学者数が１年生生徒数を超えています。（5/1以前に退学した場合には、入学志願者数～入学者数からも除外してください。）",
"")))))))))))))))</f>
        <v/>
      </c>
      <c r="AG53" s="238">
        <f>COUNTA(D53:O54,R53:Y54)</f>
        <v>0</v>
      </c>
    </row>
    <row r="54" spans="1:33" s="3" customFormat="1" ht="24.75" customHeight="1">
      <c r="A54" s="1029"/>
      <c r="B54" s="1030"/>
      <c r="C54" s="1031"/>
      <c r="D54" s="923"/>
      <c r="E54" s="923"/>
      <c r="F54" s="923"/>
      <c r="G54" s="923"/>
      <c r="H54" s="923"/>
      <c r="I54" s="923"/>
      <c r="J54" s="923"/>
      <c r="K54" s="923"/>
      <c r="L54" s="923"/>
      <c r="M54" s="923"/>
      <c r="N54" s="923"/>
      <c r="O54" s="923"/>
      <c r="P54" s="963" t="s">
        <v>1226</v>
      </c>
      <c r="Q54" s="963"/>
      <c r="R54" s="1032"/>
      <c r="S54" s="1033"/>
      <c r="T54" s="922"/>
      <c r="U54" s="922"/>
      <c r="V54" s="922"/>
      <c r="W54" s="922"/>
      <c r="X54" s="922"/>
      <c r="Y54" s="922"/>
      <c r="Z54" s="920">
        <f t="shared" si="6"/>
        <v>0</v>
      </c>
      <c r="AA54" s="921"/>
      <c r="AB54" s="164"/>
      <c r="AC54" s="10"/>
      <c r="AD54" s="10"/>
      <c r="AE54" s="158"/>
      <c r="AF54" s="614" t="str">
        <f>IF(OR($AG$38="本票回答不要",$AG$38="本票Ⅵのみ回答必要",$AG$38="本票Ⅰ生徒数のみ回答必要",$AG$38="本票Ⅰ生徒数・Ⅵ回答必要"),"",
IF(COUNTA(D53:O54,R53:Y54)=0,"",
IF(AND(R54="",T54="",V54="",X54=""), "←学年別生徒数を記入してください。（募集停止校の場合は「0」を入力してください。）",
IF(R54="","←１年生の生徒数（現員）が未記入です。（募集停止校の場合は「0」を入力してください。）",
IF(T54="","←2年生の生徒数（現員）が未記入です。（募集停止校の場合は「0」を入力してください。）",
IF(V54="", "←3年生の生徒数（現員）が未記入です。（募集停止校の場合は「0」を入力してください。）",
IF(X54="", "←4年生の生徒数（現員）が未記入です。（募集停止校の場合は「0」を入力してください。）",
"")))))))</f>
        <v/>
      </c>
      <c r="AG54" s="238"/>
    </row>
    <row r="55" spans="1:33" s="3" customFormat="1" ht="24.75" customHeight="1">
      <c r="A55" s="1355" t="s">
        <v>51</v>
      </c>
      <c r="B55" s="1356"/>
      <c r="C55" s="1357"/>
      <c r="D55" s="923"/>
      <c r="E55" s="923"/>
      <c r="F55" s="923"/>
      <c r="G55" s="923"/>
      <c r="H55" s="923"/>
      <c r="I55" s="923"/>
      <c r="J55" s="923"/>
      <c r="K55" s="923"/>
      <c r="L55" s="923"/>
      <c r="M55" s="923"/>
      <c r="N55" s="923"/>
      <c r="O55" s="923"/>
      <c r="P55" s="1155" t="s">
        <v>1225</v>
      </c>
      <c r="Q55" s="1156"/>
      <c r="R55" s="1146"/>
      <c r="S55" s="1147"/>
      <c r="T55" s="1002"/>
      <c r="U55" s="1002"/>
      <c r="V55" s="1002"/>
      <c r="W55" s="1002"/>
      <c r="X55" s="1002"/>
      <c r="Y55" s="1002"/>
      <c r="Z55" s="1135">
        <f t="shared" si="6"/>
        <v>0</v>
      </c>
      <c r="AA55" s="1136"/>
      <c r="AB55" s="164"/>
      <c r="AC55" s="10"/>
      <c r="AD55" s="10"/>
      <c r="AE55" s="158"/>
      <c r="AF55" s="614" t="str">
        <f>IF(OR($AG$38="本票回答不要",$AG$38="本票Ⅵのみ回答必要",$AG$38="本票Ⅰ生徒数のみ回答必要",$AG$38="本票Ⅰ生徒数・Ⅵ回答必要"),"",
IF(COUNTA(D55:O56,R55:Y56)=0,"",
IF(D55="","←入学志願者数を記入してください。(募集停止校の場合は「0」を入力してください。)",
IF(G55="","←受験者数を記入してください。(募集停止校の場合は「0」を入力してください。)",
IF(J55="","←合格者数を記入してください。(募集停止校の場合は「0」を入力してください。)",
IF(M55="","←入学者数を記入してください。(募集停止校の場合は「0」を入力してください。)",
IF(AND(R55="",T55="",V55="",X55=""),"←学年別定員を記入してください。（募集停止校の場合は「0」を入力してください。）",
IF(R55="","←1年生の定員が未記入です。（募集停止校の場合は「0」を入力してください。）",
IF(T55="","←2年生の定員が未記入です。（募集停止校の場合は「0」を入力してください。）",
IF(V55="","←3年生の定員が未記入です。（募集停止校の場合は「0」を入力してください。）",
IF(X55="","←4年生の定員が未記入です。（募集停止校の場合は「0」を入力してください。）",
IF(D55&lt;G55,"←入学志願者より受験者が多くなっています。",
IF(G55&lt;J55,"←受験者より合格者が多くなっています。",
IF(J55&lt;M55,"←合格者数より入学者数が多くなっています。（合格者には追加・内部進学者数等も含めてください。正しい場合は構いません。）",
IF(AND(R56&lt;&gt;"",M55&gt;R56),"←入学者数が１年生生徒数を超えています。（5/1以前に退学した場合には、入学志願者数～入学者数からも除外してください。）",
"")))))))))))))))</f>
        <v/>
      </c>
      <c r="AG55" s="238">
        <f>COUNTA(D55:O56,R55:Y56)</f>
        <v>0</v>
      </c>
    </row>
    <row r="56" spans="1:33" s="3" customFormat="1" ht="24.75" customHeight="1">
      <c r="A56" s="1358"/>
      <c r="B56" s="1359"/>
      <c r="C56" s="1360"/>
      <c r="D56" s="923"/>
      <c r="E56" s="923"/>
      <c r="F56" s="923"/>
      <c r="G56" s="923"/>
      <c r="H56" s="923"/>
      <c r="I56" s="923"/>
      <c r="J56" s="923"/>
      <c r="K56" s="923"/>
      <c r="L56" s="923"/>
      <c r="M56" s="923"/>
      <c r="N56" s="923"/>
      <c r="O56" s="923"/>
      <c r="P56" s="963" t="s">
        <v>1226</v>
      </c>
      <c r="Q56" s="963"/>
      <c r="R56" s="1032"/>
      <c r="S56" s="1033"/>
      <c r="T56" s="922"/>
      <c r="U56" s="922"/>
      <c r="V56" s="922"/>
      <c r="W56" s="922"/>
      <c r="X56" s="922"/>
      <c r="Y56" s="922"/>
      <c r="Z56" s="920">
        <f t="shared" si="6"/>
        <v>0</v>
      </c>
      <c r="AA56" s="921"/>
      <c r="AB56" s="164"/>
      <c r="AC56" s="10"/>
      <c r="AD56" s="10"/>
      <c r="AE56" s="158"/>
      <c r="AF56" s="614" t="str">
        <f t="shared" ref="AF56" si="11">IF(OR($AG$38="本票回答不要",$AG$38="本票Ⅵのみ回答必要",$AG$38="本票Ⅰ生徒数のみ回答必要",$AG$38="本票Ⅰ生徒数・Ⅵ回答必要"),"",
IF(COUNTA(D55:O56,R55:Y56)=0,"",
IF(AND(R56="",T56="",V56="",X56=""), "←学年別生徒数を記入してください。（募集停止校の場合は「0」を入力してください。）",
IF(R56="","←１年生の生徒数（現員）が未記入です。（募集停止校の場合は「0」を入力してください。）",
IF(T56="","←2年生の生徒数（現員）が未記入です。（募集停止校の場合は「0」を入力してください。）",
IF(V56="", "←3年生の生徒数（現員）が未記入です。（募集停止校の場合は「0」を入力してください。）",
IF(X56="", "←4年生の生徒数（現員）が未記入です。（募集停止校の場合は「0」を入力してください。）",
"")))))))</f>
        <v/>
      </c>
      <c r="AG56" s="238"/>
    </row>
    <row r="57" spans="1:33" s="3" customFormat="1" ht="24.75" customHeight="1">
      <c r="A57" s="1149" t="s">
        <v>52</v>
      </c>
      <c r="B57" s="1150"/>
      <c r="C57" s="1151"/>
      <c r="D57" s="923"/>
      <c r="E57" s="923"/>
      <c r="F57" s="923"/>
      <c r="G57" s="923"/>
      <c r="H57" s="923"/>
      <c r="I57" s="923"/>
      <c r="J57" s="923"/>
      <c r="K57" s="923"/>
      <c r="L57" s="923"/>
      <c r="M57" s="923"/>
      <c r="N57" s="923"/>
      <c r="O57" s="923"/>
      <c r="P57" s="1155" t="s">
        <v>1225</v>
      </c>
      <c r="Q57" s="1156"/>
      <c r="R57" s="1146"/>
      <c r="S57" s="1147"/>
      <c r="T57" s="1002"/>
      <c r="U57" s="1002"/>
      <c r="V57" s="1002"/>
      <c r="W57" s="1002"/>
      <c r="X57" s="1002"/>
      <c r="Y57" s="1002"/>
      <c r="Z57" s="1148">
        <f t="shared" si="6"/>
        <v>0</v>
      </c>
      <c r="AA57" s="1136"/>
      <c r="AB57" s="164"/>
      <c r="AC57" s="10"/>
      <c r="AD57" s="10"/>
      <c r="AE57" s="158"/>
      <c r="AF57" s="614" t="str">
        <f>IF(OR($AG$38="本票回答不要",$AG$38="本票Ⅵのみ回答必要",$AG$38="本票Ⅰ生徒数のみ回答必要",$AG$38="本票Ⅰ生徒数・Ⅵ回答必要"),"",
IF(COUNTA(D57:O58,R57:Y58)=0,"",
IF(D57="","←入学志願者数を記入してください。(募集停止校の場合は「0」を入力してください。)",
IF(G57="","←受験者数を記入してください。(募集停止校の場合は「0」を入力してください。)",
IF(J57="","←合格者数を記入してください。(募集停止校の場合は「0」を入力してください。)",
IF(M57="","←入学者数を記入してください。(募集停止校の場合は「0」を入力してください。)",
IF(AND(R57="",T57="",V57="",X57=""),"←学年別定員を記入してください。（募集停止校の場合は「0」を入力してください。）",
IF(R57="","←1年生の定員が未記入です。（募集停止校の場合は「0」を入力してください。）",
IF(T57="","←2年生の定員が未記入です。（募集停止校の場合は「0」を入力してください。）",
IF(V57="","←3年生の定員が未記入です。（募集停止校の場合は「0」を入力してください。）",
IF(X57="","←4年生の定員が未記入です。（募集停止校の場合は「0」を入力してください。）",
IF(D57&lt;G57,"←入学志願者より受験者が多くなっています。",
IF(G57&lt;J57,"←受験者より合格者が多くなっています。",
IF(J57&lt;M57,"←合格者数より入学者数が多くなっています。（合格者には追加・内部進学者数等も含めてください。正しい場合は構いません。）",
IF(AND(R58&lt;&gt;"",M57&gt;R58),"←入学者数が１年生生徒数を超えています。（5/1以前に退学した場合には、入学志願者数～入学者数からも除外してください。）",
"")))))))))))))))</f>
        <v/>
      </c>
      <c r="AG57" s="238">
        <f>COUNTA(D57:O58,R57:Y58)</f>
        <v>0</v>
      </c>
    </row>
    <row r="58" spans="1:33" s="3" customFormat="1" ht="24.75" customHeight="1">
      <c r="A58" s="1152"/>
      <c r="B58" s="1150"/>
      <c r="C58" s="1151"/>
      <c r="D58" s="923"/>
      <c r="E58" s="923"/>
      <c r="F58" s="923"/>
      <c r="G58" s="923"/>
      <c r="H58" s="923"/>
      <c r="I58" s="923"/>
      <c r="J58" s="923"/>
      <c r="K58" s="923"/>
      <c r="L58" s="923"/>
      <c r="M58" s="923"/>
      <c r="N58" s="923"/>
      <c r="O58" s="923"/>
      <c r="P58" s="963" t="s">
        <v>1226</v>
      </c>
      <c r="Q58" s="963"/>
      <c r="R58" s="1032"/>
      <c r="S58" s="1033"/>
      <c r="T58" s="922"/>
      <c r="U58" s="922"/>
      <c r="V58" s="922"/>
      <c r="W58" s="922"/>
      <c r="X58" s="922"/>
      <c r="Y58" s="922"/>
      <c r="Z58" s="920">
        <f t="shared" si="6"/>
        <v>0</v>
      </c>
      <c r="AA58" s="921"/>
      <c r="AB58" s="164"/>
      <c r="AC58" s="10"/>
      <c r="AD58" s="10"/>
      <c r="AE58" s="158"/>
      <c r="AF58" s="614" t="str">
        <f t="shared" ref="AF58" si="12">IF(OR($AG$38="本票回答不要",$AG$38="本票Ⅵのみ回答必要",$AG$38="本票Ⅰ生徒数のみ回答必要",$AG$38="本票Ⅰ生徒数・Ⅵ回答必要"),"",
IF(COUNTA(D57:O58,R57:Y58)=0,"",
IF(AND(R58="",T58="",V58="",X58=""), "←学年別生徒数を記入してください。（募集停止校の場合は「0」を入力してください。）",
IF(R58="","←１年生の生徒数（現員）が未記入です。（募集停止校の場合は「0」を入力してください。）",
IF(T58="","←2年生の生徒数（現員）が未記入です。（募集停止校の場合は「0」を入力してください。）",
IF(V58="", "←3年生の生徒数（現員）が未記入です。（募集停止校の場合は「0」を入力してください。）",
IF(X58="", "←4年生の生徒数（現員）が未記入です。（募集停止校の場合は「0」を入力してください。）",
"")))))))</f>
        <v/>
      </c>
      <c r="AG58" s="238"/>
    </row>
    <row r="59" spans="1:33" s="3" customFormat="1" ht="24.75" customHeight="1">
      <c r="A59" s="1355" t="s">
        <v>53</v>
      </c>
      <c r="B59" s="1356"/>
      <c r="C59" s="1357"/>
      <c r="D59" s="923"/>
      <c r="E59" s="923"/>
      <c r="F59" s="923"/>
      <c r="G59" s="923"/>
      <c r="H59" s="923"/>
      <c r="I59" s="923"/>
      <c r="J59" s="923"/>
      <c r="K59" s="923"/>
      <c r="L59" s="923"/>
      <c r="M59" s="923"/>
      <c r="N59" s="923"/>
      <c r="O59" s="923"/>
      <c r="P59" s="1155" t="s">
        <v>1225</v>
      </c>
      <c r="Q59" s="1156"/>
      <c r="R59" s="1146"/>
      <c r="S59" s="1147"/>
      <c r="T59" s="1002"/>
      <c r="U59" s="1002"/>
      <c r="V59" s="1002"/>
      <c r="W59" s="1002"/>
      <c r="X59" s="1002"/>
      <c r="Y59" s="1002"/>
      <c r="Z59" s="1148">
        <f t="shared" si="6"/>
        <v>0</v>
      </c>
      <c r="AA59" s="1136"/>
      <c r="AB59" s="164"/>
      <c r="AC59" s="10"/>
      <c r="AD59" s="10"/>
      <c r="AE59" s="158"/>
      <c r="AF59" s="614" t="str">
        <f>IF(OR($AG$38="本票回答不要",$AG$38="本票Ⅵのみ回答必要",$AG$38="本票Ⅰ生徒数のみ回答必要",$AG$38="本票Ⅰ生徒数・Ⅵ回答必要"),"",
IF(COUNTA(D59:O60,R59:Y60)=0,"",
IF(D59="","←入学志願者数を記入してください。(募集停止校の場合は「0」を入力してください。)",
IF(G59="","←受験者数を記入してください。(募集停止校の場合は「0」を入力してください。)",
IF(J59="","←合格者数を記入してください。(募集停止校の場合は「0」を入力してください。)",
IF(M59="","←入学者数を記入してください。(募集停止校の場合は「0」を入力してください。)",
IF(AND(R59="",T59="",V59="",X59=""),"←学年別定員を記入してください。（募集停止校の場合は「0」を入力してください。）",
IF(R59="","←1年生の定員が未記入です。（募集停止校の場合は「0」を入力してください。）",
IF(T59="","←2年生の定員が未記入です。（募集停止校の場合は「0」を入力してください。）",
IF(V59="","←3年生の定員が未記入です。（募集停止校の場合は「0」を入力してください。）",
IF(X59="","←4年生の定員が未記入です。（募集停止校の場合は「0」を入力してください。）",
IF(D59&lt;G59,"←入学志願者より受験者が多くなっています。",
IF(G59&lt;J59,"←受験者より合格者が多くなっています。",
IF(J59&lt;M59,"←合格者数より入学者数が多くなっています。（合格者には追加・内部進学者数等も含めてください。正しい場合は構いません。）",
IF(AND(R60&lt;&gt;"",M59&gt;R60),"←入学者数が１年生生徒数を超えています。（5/1以前に退学した場合には、入学志願者数～入学者数からも除外してください。）",
"")))))))))))))))</f>
        <v/>
      </c>
      <c r="AG59" s="238">
        <f>COUNTA(D59:O60,R59:Y60)</f>
        <v>0</v>
      </c>
    </row>
    <row r="60" spans="1:33" s="3" customFormat="1" ht="24.75" customHeight="1">
      <c r="A60" s="1358"/>
      <c r="B60" s="1359"/>
      <c r="C60" s="1360"/>
      <c r="D60" s="923"/>
      <c r="E60" s="923"/>
      <c r="F60" s="923"/>
      <c r="G60" s="923"/>
      <c r="H60" s="923"/>
      <c r="I60" s="923"/>
      <c r="J60" s="923"/>
      <c r="K60" s="923"/>
      <c r="L60" s="923"/>
      <c r="M60" s="923"/>
      <c r="N60" s="923"/>
      <c r="O60" s="923"/>
      <c r="P60" s="963" t="s">
        <v>1226</v>
      </c>
      <c r="Q60" s="963"/>
      <c r="R60" s="1032"/>
      <c r="S60" s="1033"/>
      <c r="T60" s="922"/>
      <c r="U60" s="922"/>
      <c r="V60" s="922"/>
      <c r="W60" s="922"/>
      <c r="X60" s="922"/>
      <c r="Y60" s="922"/>
      <c r="Z60" s="920">
        <f t="shared" si="6"/>
        <v>0</v>
      </c>
      <c r="AA60" s="921"/>
      <c r="AB60" s="164"/>
      <c r="AC60" s="10"/>
      <c r="AD60" s="10"/>
      <c r="AE60" s="158"/>
      <c r="AF60" s="614" t="str">
        <f t="shared" ref="AF60" si="13">IF(OR($AG$38="本票回答不要",$AG$38="本票Ⅵのみ回答必要",$AG$38="本票Ⅰ生徒数のみ回答必要",$AG$38="本票Ⅰ生徒数・Ⅵ回答必要"),"",
IF(COUNTA(D59:O60,R59:Y60)=0,"",
IF(AND(R60="",T60="",V60="",X60=""), "←学年別生徒数を記入してください。（募集停止校の場合は「0」を入力してください。）",
IF(R60="","←１年生の生徒数（現員）が未記入です。（募集停止校の場合は「0」を入力してください。）",
IF(T60="","←2年生の生徒数（現員）が未記入です。（募集停止校の場合は「0」を入力してください。）",
IF(V60="", "←3年生の生徒数（現員）が未記入です。（募集停止校の場合は「0」を入力してください。）",
IF(X60="", "←4年生の生徒数（現員）が未記入です。（募集停止校の場合は「0」を入力してください。）",
"")))))))</f>
        <v/>
      </c>
      <c r="AG60" s="238"/>
    </row>
    <row r="61" spans="1:33" s="3" customFormat="1" ht="24.75" customHeight="1">
      <c r="A61" s="1139" t="s">
        <v>6</v>
      </c>
      <c r="B61" s="1142"/>
      <c r="C61" s="1143"/>
      <c r="D61" s="923"/>
      <c r="E61" s="923"/>
      <c r="F61" s="923"/>
      <c r="G61" s="923"/>
      <c r="H61" s="923"/>
      <c r="I61" s="923"/>
      <c r="J61" s="923"/>
      <c r="K61" s="923"/>
      <c r="L61" s="923"/>
      <c r="M61" s="923"/>
      <c r="N61" s="923"/>
      <c r="O61" s="923"/>
      <c r="P61" s="1155" t="s">
        <v>1225</v>
      </c>
      <c r="Q61" s="1156"/>
      <c r="R61" s="1146"/>
      <c r="S61" s="1147"/>
      <c r="T61" s="1002"/>
      <c r="U61" s="1002"/>
      <c r="V61" s="1002"/>
      <c r="W61" s="1002"/>
      <c r="X61" s="1002"/>
      <c r="Y61" s="1002"/>
      <c r="Z61" s="1148">
        <f t="shared" si="6"/>
        <v>0</v>
      </c>
      <c r="AA61" s="1136"/>
      <c r="AB61" s="164"/>
      <c r="AC61" s="10"/>
      <c r="AD61" s="10"/>
      <c r="AE61" s="158"/>
      <c r="AF61" s="615" t="str">
        <f>IF(OR($AG$38="本票回答不要",$AG$38="本票Ⅵのみ回答必要",$AG$38="本票Ⅰ生徒数のみ回答必要",$AG$38="本票Ⅰ生徒数・Ⅵ回答必要"),"",
IF(AG61=0,"",
IF(B61="","←学科名を記入してください。",
IF(D61="","←入学志願者数を記入してください。(募集停止校の場合は「0」を入力してください。)",
IF(G61="","←受験者数を記入してください。(募集停止校の場合は「0」を入力してください。)",
IF(J61="","←合格者数を記入してください。(募集停止校の場合は「0」を入力してください。)",
IF(M61="","←入学者数を記入してください。(募集停止校の場合は「0」を入力してください。)",
IF(AND(R61="",T61="",V61="",X61=""),"←学年別定員を記入してください。（募集停止校の場合は「0」を入力してください。）",
IF(R61="","←1年生の定員が未記入です。（募集停止校の場合は「0」を入力してください。）",
IF(T61="","←2年生の定員が未記入です。（募集停止校の場合は「0」を入力してください。）",
IF(V61="","←3年生の定員が未記入です。（募集停止校の場合は「0」を入力してください。）",
IF(X61="","←4年生の定員が未記入です。（募集停止校の場合は「0」を入力してください。）",
IF(D61&lt;G61,"←入学志願者より受験者が多くなっています。",
IF(G61&lt;J61,"←受験者より合格者が多くなっています。",
IF(J61&lt;M61,"←合格者数より入学者数が多くなっています。（合格者には追加・内部進学者数等も含めてください。正しい場合は構いません。）",
IF(AND(R62&lt;&gt;"",M61&gt;R62),"←入学者数が１年生生徒数を超えています。（5/1以前に退学した場合には、入学志願者数～入学者数からも除外してください。）",
""))))))))))))))))</f>
        <v/>
      </c>
      <c r="AG61" s="238">
        <f>COUNTA(B61,D61:O62,R61:Y62)</f>
        <v>0</v>
      </c>
    </row>
    <row r="62" spans="1:33" s="3" customFormat="1" ht="24.75" customHeight="1">
      <c r="A62" s="1140"/>
      <c r="B62" s="206"/>
      <c r="C62" s="20" t="s">
        <v>10</v>
      </c>
      <c r="D62" s="923"/>
      <c r="E62" s="923"/>
      <c r="F62" s="923"/>
      <c r="G62" s="923"/>
      <c r="H62" s="923"/>
      <c r="I62" s="923"/>
      <c r="J62" s="923"/>
      <c r="K62" s="923"/>
      <c r="L62" s="923"/>
      <c r="M62" s="923"/>
      <c r="N62" s="923"/>
      <c r="O62" s="923"/>
      <c r="P62" s="963" t="s">
        <v>1226</v>
      </c>
      <c r="Q62" s="963"/>
      <c r="R62" s="1032"/>
      <c r="S62" s="1033"/>
      <c r="T62" s="922"/>
      <c r="U62" s="922"/>
      <c r="V62" s="922"/>
      <c r="W62" s="922"/>
      <c r="X62" s="922"/>
      <c r="Y62" s="922"/>
      <c r="Z62" s="920">
        <f t="shared" si="6"/>
        <v>0</v>
      </c>
      <c r="AA62" s="921"/>
      <c r="AB62" s="164"/>
      <c r="AC62" s="10"/>
      <c r="AD62" s="10"/>
      <c r="AE62" s="158"/>
      <c r="AF62" s="615" t="str">
        <f>IF(OR($AG$38="本票回答不要",$AG$38="本票Ⅵのみ回答必要",$AG$38="本票Ⅰ生徒数のみ回答必要",$AG$38="本票Ⅰ生徒数・Ⅵ回答必要"),"",
IF(COUNTA(D61:O62,R61:Y62)=0,"",
IF(AND(R62="",T62="",V62="",X62=""), "←学年別生徒数を記入してください。（募集停止校の場合は「0」を入力してください。）",
IF(R62="","←１年生の生徒数（現員）が未記入です。（募集停止校の場合は「0」を入力してください。）",
IF(T62="","←2年生の生徒数（現員）が未記入です。（募集停止校の場合は「0」を入力してください。）",
IF(V62="", "←3年生の生徒数（現員）が未記入です。（募集停止校の場合は「0」を入力してください。）",
IF(X62="", "←4年生の生徒数（現員）が未記入です。（募集停止校の場合は「0」を入力してください。）",
"")))))))</f>
        <v/>
      </c>
      <c r="AG62" s="238"/>
    </row>
    <row r="63" spans="1:33" s="3" customFormat="1" ht="24.75" customHeight="1">
      <c r="A63" s="1140"/>
      <c r="B63" s="1142"/>
      <c r="C63" s="1143"/>
      <c r="D63" s="923"/>
      <c r="E63" s="923"/>
      <c r="F63" s="923"/>
      <c r="G63" s="923"/>
      <c r="H63" s="923"/>
      <c r="I63" s="923"/>
      <c r="J63" s="923"/>
      <c r="K63" s="923"/>
      <c r="L63" s="923"/>
      <c r="M63" s="923"/>
      <c r="N63" s="923"/>
      <c r="O63" s="923"/>
      <c r="P63" s="1155" t="s">
        <v>1225</v>
      </c>
      <c r="Q63" s="1156"/>
      <c r="R63" s="1146"/>
      <c r="S63" s="1147"/>
      <c r="T63" s="1002"/>
      <c r="U63" s="1002"/>
      <c r="V63" s="1002"/>
      <c r="W63" s="1002"/>
      <c r="X63" s="1002"/>
      <c r="Y63" s="1002"/>
      <c r="Z63" s="1148">
        <f t="shared" si="6"/>
        <v>0</v>
      </c>
      <c r="AA63" s="1136"/>
      <c r="AB63" s="164"/>
      <c r="AC63" s="10"/>
      <c r="AD63" s="10"/>
      <c r="AE63" s="158"/>
      <c r="AF63" s="615" t="str">
        <f>IF(OR($AG$38="本票回答不要",$AG$38="本票Ⅵのみ回答必要",$AG$38="本票Ⅰ生徒数のみ回答必要",$AG$38="本票Ⅰ生徒数・Ⅵ回答必要"),"",
IF(AG63=0,"",
IF(B63="","←学科名を記入してください。",
IF(D63="","←入学志願者数を記入してください。(募集停止校の場合は「0」を入力してください。)",
IF(G63="","←受験者数を記入してください。(募集停止校の場合は「0」を入力してください。)",
IF(J63="","←合格者数を記入してください。(募集停止校の場合は「0」を入力してください。)",
IF(M63="","←入学者数を記入してください。(募集停止校の場合は「0」を入力してください。)",
IF(AND(R63="",T63="",V63="",X63=""),"←学年別定員を記入してください。（募集停止校の場合は「0」を入力してください。）",
IF(R63="","←1年生の定員が未記入です。（募集停止校の場合は「0」を入力してください。）",
IF(T63="","←2年生の定員が未記入です。（募集停止校の場合は「0」を入力してください。）",
IF(V63="","←3年生の定員が未記入です。（募集停止校の場合は「0」を入力してください。）",
IF(X63="","←4年生の定員が未記入です。（募集停止校の場合は「0」を入力してください。）",
IF(D63&lt;G63,"←入学志願者より受験者が多くなっています。",
IF(G63&lt;J63,"←受験者より合格者が多くなっています。",
IF(J63&lt;M63,"←合格者数より入学者数が多くなっています。（合格者には追加・内部進学者数等も含めてください。正しい場合は構いません。）",
IF(AND(R64&lt;&gt;"",M63&gt;R64),"←入学者数が１年生生徒数を超えています。（5/1以前に退学した場合には、入学志願者数～入学者数からも除外してください。）",
""))))))))))))))))</f>
        <v/>
      </c>
      <c r="AG63" s="238">
        <f>COUNTA(B63,D63:O64,R63:Y64)</f>
        <v>0</v>
      </c>
    </row>
    <row r="64" spans="1:33" s="3" customFormat="1" ht="24.75" customHeight="1" thickBot="1">
      <c r="A64" s="1141"/>
      <c r="B64" s="36"/>
      <c r="C64" s="21" t="s">
        <v>10</v>
      </c>
      <c r="D64" s="1153"/>
      <c r="E64" s="1153"/>
      <c r="F64" s="1153"/>
      <c r="G64" s="1153"/>
      <c r="H64" s="1153"/>
      <c r="I64" s="1153"/>
      <c r="J64" s="1153"/>
      <c r="K64" s="1153"/>
      <c r="L64" s="1153"/>
      <c r="M64" s="1153"/>
      <c r="N64" s="1153"/>
      <c r="O64" s="1153"/>
      <c r="P64" s="1154" t="s">
        <v>1226</v>
      </c>
      <c r="Q64" s="1154"/>
      <c r="R64" s="1144"/>
      <c r="S64" s="1145"/>
      <c r="T64" s="1158"/>
      <c r="U64" s="1158"/>
      <c r="V64" s="1158"/>
      <c r="W64" s="1158"/>
      <c r="X64" s="1158"/>
      <c r="Y64" s="1158"/>
      <c r="Z64" s="1159">
        <f t="shared" si="6"/>
        <v>0</v>
      </c>
      <c r="AA64" s="1160"/>
      <c r="AB64" s="164"/>
      <c r="AC64" s="10"/>
      <c r="AD64" s="10"/>
      <c r="AE64" s="158"/>
      <c r="AF64" s="615" t="str">
        <f>IF(OR($AG$38="本票回答不要",$AG$38="本票Ⅵのみ回答必要",$AG$38="本票Ⅰ生徒数のみ回答必要",$AG$38="本票Ⅰ生徒数・Ⅵ回答必要"),"",
IF(COUNTA(D63:O64,R63:Y64)=0,"",
IF(AND(R64="",T64="",V64="",X64=""), "←学年別生徒数を記入してください。（募集停止校の場合は「0」を入力してください。）",
IF(R64="","←１年生の生徒数（現員）が未記入です。（募集停止校の場合は「0」を入力してください。）",
IF(T64="","←2年生の生徒数（現員）が未記入です。（募集停止校の場合は「0」を入力してください。）",
IF(V64="", "←3年生の生徒数（現員）が未記入です。（募集停止校の場合は「0」を入力してください。）",
IF(X64="", "←4年生の生徒数（現員）が未記入です。（募集停止校の場合は「0」を入力してください。）",
"")))))))</f>
        <v/>
      </c>
      <c r="AG64" s="238"/>
    </row>
    <row r="65" spans="1:33" s="3" customFormat="1" ht="4.9000000000000004" customHeight="1">
      <c r="A65" s="1137"/>
      <c r="B65" s="1137"/>
      <c r="C65" s="1138"/>
      <c r="D65" s="1138"/>
      <c r="E65" s="1138"/>
      <c r="F65" s="1138"/>
      <c r="G65" s="1138"/>
      <c r="H65" s="1138"/>
      <c r="I65" s="1138"/>
      <c r="J65" s="1138"/>
      <c r="K65" s="1138"/>
      <c r="L65" s="1138"/>
      <c r="M65" s="1138"/>
      <c r="N65" s="1138"/>
      <c r="O65" s="1138"/>
      <c r="P65" s="1138"/>
      <c r="Q65" s="1138"/>
      <c r="R65" s="1138"/>
      <c r="S65" s="1138"/>
      <c r="T65" s="1138"/>
      <c r="U65" s="1138"/>
      <c r="V65" s="1138"/>
      <c r="W65" s="1138"/>
      <c r="X65" s="1138"/>
      <c r="Y65" s="1138"/>
      <c r="Z65" s="1138"/>
      <c r="AA65" s="1138"/>
      <c r="AB65" s="1138"/>
      <c r="AC65" s="1138"/>
      <c r="AD65" s="1138"/>
      <c r="AE65" s="1138"/>
      <c r="AF65" s="223"/>
    </row>
    <row r="66" spans="1:33" s="3" customFormat="1" ht="4.9000000000000004" customHeight="1">
      <c r="A66" s="71"/>
      <c r="B66" s="72"/>
      <c r="C66" s="1138"/>
      <c r="D66" s="1138"/>
      <c r="E66" s="1138"/>
      <c r="F66" s="1138"/>
      <c r="G66" s="1138"/>
      <c r="H66" s="1138"/>
      <c r="I66" s="1138"/>
      <c r="J66" s="1138"/>
      <c r="K66" s="1138"/>
      <c r="L66" s="1138"/>
      <c r="M66" s="1138"/>
      <c r="N66" s="1138"/>
      <c r="O66" s="1138"/>
      <c r="P66" s="1138"/>
      <c r="Q66" s="1138"/>
      <c r="R66" s="1138"/>
      <c r="S66" s="1138"/>
      <c r="T66" s="1138"/>
      <c r="U66" s="1138"/>
      <c r="V66" s="1138"/>
      <c r="W66" s="1138"/>
      <c r="X66" s="1138"/>
      <c r="Y66" s="1138"/>
      <c r="Z66" s="1138"/>
      <c r="AA66" s="1138"/>
      <c r="AB66" s="1138"/>
      <c r="AC66" s="1138"/>
      <c r="AD66" s="1138"/>
      <c r="AE66" s="1138"/>
      <c r="AF66" s="223"/>
    </row>
    <row r="67" spans="1:33" ht="4.9000000000000004" customHeight="1">
      <c r="A67" s="154"/>
      <c r="B67" s="72"/>
      <c r="C67" s="151"/>
      <c r="D67" s="153"/>
      <c r="E67" s="153"/>
      <c r="F67" s="153"/>
      <c r="G67" s="153"/>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5"/>
    </row>
    <row r="68" spans="1:33" ht="15" customHeight="1" thickBot="1">
      <c r="A68" s="208" t="s">
        <v>1264</v>
      </c>
      <c r="B68" s="198"/>
      <c r="C68" s="198"/>
      <c r="D68" s="198"/>
      <c r="E68" s="198"/>
      <c r="F68" s="198"/>
      <c r="G68" s="9"/>
      <c r="H68" s="9"/>
      <c r="I68" s="9"/>
      <c r="J68" s="9"/>
      <c r="K68" s="9"/>
      <c r="L68" s="9"/>
      <c r="M68" s="9"/>
      <c r="N68" s="9"/>
      <c r="O68" s="9"/>
      <c r="P68" s="9"/>
      <c r="Q68" s="9"/>
      <c r="R68" s="9"/>
      <c r="S68" s="9"/>
      <c r="T68" s="9"/>
      <c r="U68" s="9"/>
      <c r="V68" s="9"/>
      <c r="W68" s="9"/>
      <c r="X68" s="9"/>
      <c r="Y68" s="9"/>
      <c r="Z68" s="9"/>
      <c r="AA68" s="24"/>
      <c r="AB68" s="24"/>
      <c r="AC68" s="24"/>
      <c r="AD68" s="24"/>
      <c r="AE68" s="25" t="s">
        <v>11</v>
      </c>
      <c r="AG68" s="239"/>
    </row>
    <row r="69" spans="1:33" ht="12.75" customHeight="1">
      <c r="A69" s="952" t="s">
        <v>369</v>
      </c>
      <c r="B69" s="953"/>
      <c r="C69" s="954"/>
      <c r="D69" s="1161" t="s">
        <v>9</v>
      </c>
      <c r="E69" s="1162"/>
      <c r="F69" s="1163"/>
      <c r="G69" s="1177" t="s">
        <v>57</v>
      </c>
      <c r="H69" s="953"/>
      <c r="I69" s="953"/>
      <c r="J69" s="953"/>
      <c r="K69" s="1179" t="s">
        <v>54</v>
      </c>
      <c r="L69" s="953"/>
      <c r="M69" s="953"/>
      <c r="N69" s="953"/>
      <c r="O69" s="1179" t="s">
        <v>55</v>
      </c>
      <c r="P69" s="953"/>
      <c r="Q69" s="953"/>
      <c r="R69" s="953"/>
      <c r="S69" s="1177" t="s">
        <v>56</v>
      </c>
      <c r="T69" s="953"/>
      <c r="U69" s="953"/>
      <c r="V69" s="954"/>
      <c r="W69" s="1184" t="s">
        <v>50</v>
      </c>
      <c r="X69" s="1185"/>
      <c r="Y69" s="1185"/>
      <c r="Z69" s="1185"/>
      <c r="AA69" s="1185"/>
      <c r="AB69" s="1186"/>
      <c r="AC69" s="1177" t="s">
        <v>13</v>
      </c>
      <c r="AD69" s="953"/>
      <c r="AE69" s="1180"/>
      <c r="AF69" s="925" t="str">
        <f>IF(OR($AG$38="本票回答不要",$AG$38="本票Ⅵのみ回答必要",$AG$38="本票Ⅰ生徒数のみ回答必要",$AG$38="本票Ⅰ生徒数・Ⅵ回答必要"),"",
IF(OR(AND($AG$53&gt;0,OR(OR(AND(R54&gt;0,G72=0),AND(R54=0,G72&gt;0)),OR(AND(T54&gt;0,G73=0),AND(T54=0,G73&gt;0)),OR(AND(V54&gt;0,G74=0),AND(V54=0,G74&gt;0)),OR(AND(X54&gt;0,G75=0),AND(X54=0,G75&gt;0)))),
      AND($AG$55&gt;0,OR(OR(AND(R56&gt;0,K72=0),AND(R56=0,K72&gt;0)),OR(AND(T56&gt;0,K73=0),AND(T56=0,K73&gt;0)),OR(AND(V56&gt;0,K74=0),AND(V56=0,K74&gt;0)),OR(AND(X56&gt;0,K75=0),AND(X56=0,K75&gt;0)))),
      AND($AG$57&gt;0,OR(OR(AND(R58&gt;0,O72=0),AND(R58=0,O72&gt;0)),OR(AND(T58&gt;0,O73=0),AND(T58=0,O73&gt;0)),OR(AND(V58&gt;0,O74=0),AND(V58=0,O74&gt;0)),OR(AND(X58&gt;0,O75=0),AND(X58=0,O75&gt;0)))),
      AND($AG$59&gt;0,OR(OR(AND(R60&gt;0,S72=0),AND(R60=0,S72&gt;0)),OR(AND(T60&gt;0,S73=0),AND(T60=0,S73&gt;0)),OR(AND(V60&gt;0,S74=0),AND(V60=0,S74&gt;0)),OR(AND(X60&gt;0,S75=0),AND(X60=0,S75&gt;0)))),
      AND($AG$61&gt;0,OR(OR(AND(R62&gt;0,W72=0),AND(R62=0,W72&gt;0)),OR(AND(T62&gt;0,W73=0),AND(T62=0,W73&gt;0)),OR(AND(V62&gt;0,W74=0),AND(V62=0,W74&gt;0)),OR(AND(X62&gt;0,W75=0),AND(X62=0,W75&gt;0)))),
      AND($AG$63&gt;0,OR(OR(AND(R64&gt;0,Z72=0),AND(R64=0,Z72&gt;0)),OR(AND(T64&gt;0,Z73=0),AND(T64=0,Z73&gt;0)),OR(AND(V64&gt;0,Z74=0),AND(V64=0,Z74&gt;0)),OR(AND(X64&gt;0,Z75=0),AND(X64=0,Z75&gt;0))))),
"←Ⅰ.生徒数とⅡ.学級数の回答が整合しません。（例：生徒がいる学年・学科の学級数が0）",
IF(OR(AND(Z54=0,G71&gt;0),
      AND(Z56=0,K71&gt;0),
      AND(Z58=0,O71&gt;0),
      AND(Z60=0,S71&gt;0),
      AND(Z62=0,W71&gt;0),
      AND(Z64=0,Z71&gt;0)),
"←Ⅰ.生徒数とⅡ.学級数の回答が整合しません。（例：生徒がいる学年・学科の学級数が0）",
"")))</f>
        <v/>
      </c>
      <c r="AG69" s="926"/>
    </row>
    <row r="70" spans="1:33" ht="18" customHeight="1">
      <c r="A70" s="958"/>
      <c r="B70" s="959"/>
      <c r="C70" s="960"/>
      <c r="D70" s="1164"/>
      <c r="E70" s="1165"/>
      <c r="F70" s="1166"/>
      <c r="G70" s="1178"/>
      <c r="H70" s="959"/>
      <c r="I70" s="959"/>
      <c r="J70" s="959"/>
      <c r="K70" s="1178"/>
      <c r="L70" s="959"/>
      <c r="M70" s="959"/>
      <c r="N70" s="959"/>
      <c r="O70" s="1178"/>
      <c r="P70" s="959"/>
      <c r="Q70" s="959"/>
      <c r="R70" s="959"/>
      <c r="S70" s="1178"/>
      <c r="T70" s="959"/>
      <c r="U70" s="959"/>
      <c r="V70" s="960"/>
      <c r="W70" s="1182" t="str">
        <f>IF(B61="","",B61)</f>
        <v/>
      </c>
      <c r="X70" s="1183"/>
      <c r="Y70" s="35" t="s">
        <v>49</v>
      </c>
      <c r="Z70" s="1182" t="str">
        <f>IF(B63="","",B63)</f>
        <v/>
      </c>
      <c r="AA70" s="1183"/>
      <c r="AB70" s="35" t="s">
        <v>49</v>
      </c>
      <c r="AC70" s="1178"/>
      <c r="AD70" s="959"/>
      <c r="AE70" s="1181"/>
      <c r="AF70" s="925"/>
      <c r="AG70" s="926"/>
    </row>
    <row r="71" spans="1:33" ht="24" customHeight="1">
      <c r="A71" s="1167" t="s">
        <v>9</v>
      </c>
      <c r="B71" s="1168"/>
      <c r="C71" s="1168"/>
      <c r="D71" s="1157">
        <f t="shared" ref="D71:D75" si="14">SUM(G71:AB71)</f>
        <v>0</v>
      </c>
      <c r="E71" s="704"/>
      <c r="F71" s="174" t="s">
        <v>21</v>
      </c>
      <c r="G71" s="1157">
        <f>SUM(G72+G73+G74+G75)</f>
        <v>0</v>
      </c>
      <c r="H71" s="1157"/>
      <c r="I71" s="1157"/>
      <c r="J71" s="1157"/>
      <c r="K71" s="1157">
        <f>SUM(K72+K73+K74+K75)</f>
        <v>0</v>
      </c>
      <c r="L71" s="1157"/>
      <c r="M71" s="1157"/>
      <c r="N71" s="1157"/>
      <c r="O71" s="1157">
        <f>SUM(O72+O73+O74+O75)</f>
        <v>0</v>
      </c>
      <c r="P71" s="1157"/>
      <c r="Q71" s="1157"/>
      <c r="R71" s="1157"/>
      <c r="S71" s="1157">
        <f>SUM(S72+S73+S74+S75)</f>
        <v>0</v>
      </c>
      <c r="T71" s="1157"/>
      <c r="U71" s="1157"/>
      <c r="V71" s="1157"/>
      <c r="W71" s="1157">
        <f>SUM(W72+W73+W74+W75)</f>
        <v>0</v>
      </c>
      <c r="X71" s="1157"/>
      <c r="Y71" s="1157"/>
      <c r="Z71" s="1157">
        <f>SUM(Z72+Z73+Z74+Z75)</f>
        <v>0</v>
      </c>
      <c r="AA71" s="1157"/>
      <c r="AB71" s="1157"/>
      <c r="AC71" s="1187"/>
      <c r="AD71" s="1188"/>
      <c r="AE71" s="1189"/>
      <c r="AF71" s="616" t="str">
        <f>IF(OR($AG$38="本票回答不要",$AG$38="本票Ⅵのみ回答必要",$AG$38="本票Ⅰ生徒数のみ回答必要",$AG$38="本票Ⅰ生徒数・Ⅵ回答必要"),"",
IF(OR(AND($AG$53&gt;0,COUNTA(G72:G75)=0),AND($AG$55&gt;0,COUNTA(K72:K75)=0),AND($AG$57&gt;0,COUNTA(O72:O75)=0),AND($AG$59&gt;0,COUNTA(S72:S75)=0),AND($AG$61&gt;0,COUNTA(W72:W75)=0),AND($AG$63&gt;0,COUNTA(Z72:Z75)=0)),"←設置のある学科について、学年別学級数を記入してください。（設定がない学年は「0」を入力してください。）",
IF(OR(G71&lt;&gt;SUM(G72:G75),K71&lt;&gt;SUM(K72:K75),O71&lt;&gt;SUM(O72:O75),S71&lt;&gt;SUM(S72:S75),W71&lt;&gt;SUM(W72:W75),Z71&lt;&gt;SUM(Z72:Z75)),"←学科別学級数（縦）計が学年別内訳計と一致しません。",
"")))</f>
        <v/>
      </c>
    </row>
    <row r="72" spans="1:33" ht="24" customHeight="1">
      <c r="A72" s="1169" t="s">
        <v>1231</v>
      </c>
      <c r="B72" s="1170"/>
      <c r="C72" s="1170"/>
      <c r="D72" s="1157">
        <f t="shared" si="14"/>
        <v>0</v>
      </c>
      <c r="E72" s="704"/>
      <c r="F72" s="174" t="s">
        <v>21</v>
      </c>
      <c r="G72" s="1172"/>
      <c r="H72" s="1172"/>
      <c r="I72" s="1172"/>
      <c r="J72" s="1172"/>
      <c r="K72" s="1172"/>
      <c r="L72" s="1172"/>
      <c r="M72" s="1172"/>
      <c r="N72" s="1172"/>
      <c r="O72" s="1172"/>
      <c r="P72" s="1172"/>
      <c r="Q72" s="1172"/>
      <c r="R72" s="1172"/>
      <c r="S72" s="1172"/>
      <c r="T72" s="1172"/>
      <c r="U72" s="1172"/>
      <c r="V72" s="1172"/>
      <c r="W72" s="1172"/>
      <c r="X72" s="1172"/>
      <c r="Y72" s="1172"/>
      <c r="Z72" s="1172"/>
      <c r="AA72" s="1172"/>
      <c r="AB72" s="1172"/>
      <c r="AC72" s="1190"/>
      <c r="AD72" s="1191"/>
      <c r="AE72" s="1192"/>
      <c r="AF72" s="616" t="str">
        <f>IF(OR($AG$38="本票回答不要",$AG$38="本票Ⅵのみ回答必要",$AG$38="本票Ⅰ生徒数のみ回答必要",$AG$38="本票Ⅰ生徒数・Ⅵ回答必要"),"",
IF(OR(AND($AG$53&gt;0,G72=""),AND($AG$55&gt;0,K72=""),AND($AG$57&gt;0,O72=""),AND($AG$59&gt;0,S72=""),AND($AG$61&gt;0,W72=""),AND($AG$63&gt;0,Z72="")),"←１年の学級数を入力してください。（設定がない場合は「0」を入力してください。）",
IF(D72&lt;&gt;SUM(G72:AB72),"←１年の学級数（横）計が学科別内訳の計と一致しません。",
"")))</f>
        <v/>
      </c>
    </row>
    <row r="73" spans="1:33" ht="24" customHeight="1">
      <c r="A73" s="1169" t="s">
        <v>1232</v>
      </c>
      <c r="B73" s="1170"/>
      <c r="C73" s="1170"/>
      <c r="D73" s="1157">
        <f t="shared" si="14"/>
        <v>0</v>
      </c>
      <c r="E73" s="704"/>
      <c r="F73" s="174" t="s">
        <v>21</v>
      </c>
      <c r="G73" s="1172"/>
      <c r="H73" s="1172"/>
      <c r="I73" s="1172"/>
      <c r="J73" s="1172"/>
      <c r="K73" s="1172"/>
      <c r="L73" s="1172"/>
      <c r="M73" s="1172"/>
      <c r="N73" s="1172"/>
      <c r="O73" s="1172"/>
      <c r="P73" s="1172"/>
      <c r="Q73" s="1172"/>
      <c r="R73" s="1172"/>
      <c r="S73" s="1172"/>
      <c r="T73" s="1172"/>
      <c r="U73" s="1172"/>
      <c r="V73" s="1172"/>
      <c r="W73" s="1172"/>
      <c r="X73" s="1172"/>
      <c r="Y73" s="1172"/>
      <c r="Z73" s="1172"/>
      <c r="AA73" s="1172"/>
      <c r="AB73" s="1172"/>
      <c r="AC73" s="1190"/>
      <c r="AD73" s="1191"/>
      <c r="AE73" s="1192"/>
      <c r="AF73" s="616" t="str">
        <f>IF(OR($AG$38="本票回答不要",$AG$38="本票Ⅵのみ回答必要",$AG$38="本票Ⅰ生徒数のみ回答必要",$AG$38="本票Ⅰ生徒数・Ⅵ回答必要"),"",
IF(OR(AND($AG$53&gt;0,G73=""),AND($AG$55&gt;0,K73=""),AND($AG$57&gt;0,O73=""),AND($AG$59&gt;0,S73=""),AND($AG$61&gt;0,W73=""),AND($AG$63&gt;0,Z73="")),"←２年の学級数を入力してください。（設定がない場合は「0」を入力してください。）",
IF(D73&lt;&gt;SUM(G73:AB73),"←２年の学級数（横）計が学科別内訳の計と一致しません。",
"")))</f>
        <v/>
      </c>
    </row>
    <row r="74" spans="1:33" ht="24" customHeight="1">
      <c r="A74" s="1169" t="s">
        <v>1233</v>
      </c>
      <c r="B74" s="1170"/>
      <c r="C74" s="1170"/>
      <c r="D74" s="1157">
        <f t="shared" si="14"/>
        <v>0</v>
      </c>
      <c r="E74" s="704"/>
      <c r="F74" s="174" t="s">
        <v>21</v>
      </c>
      <c r="G74" s="1172"/>
      <c r="H74" s="1172"/>
      <c r="I74" s="1172"/>
      <c r="J74" s="1172"/>
      <c r="K74" s="1172"/>
      <c r="L74" s="1172"/>
      <c r="M74" s="1172"/>
      <c r="N74" s="1172"/>
      <c r="O74" s="1172"/>
      <c r="P74" s="1172"/>
      <c r="Q74" s="1172"/>
      <c r="R74" s="1172"/>
      <c r="S74" s="1172"/>
      <c r="T74" s="1172"/>
      <c r="U74" s="1172"/>
      <c r="V74" s="1172"/>
      <c r="W74" s="1172"/>
      <c r="X74" s="1172"/>
      <c r="Y74" s="1172"/>
      <c r="Z74" s="1172"/>
      <c r="AA74" s="1172"/>
      <c r="AB74" s="1172"/>
      <c r="AC74" s="1190"/>
      <c r="AD74" s="1191"/>
      <c r="AE74" s="1192"/>
      <c r="AF74" s="616" t="str">
        <f>IF(OR($AG$38="本票回答不要",$AG$38="本票Ⅵのみ回答必要",$AG$38="本票Ⅰ生徒数のみ回答必要",$AG$38="本票Ⅰ生徒数・Ⅵ回答必要"),"",
IF(OR(AND($AG$53&gt;0,G74=""),AND($AG$55&gt;0,K74=""),AND($AG$57&gt;0,O74=""),AND($AG$59&gt;0,S74=""),AND($AG$61&gt;0,W74=""),AND($AG$63&gt;0,Z74="")),"←３年の学級数を入力してください。（設定がない場合は「0」を入力してください。）",
IF(D74&lt;&gt;SUM(G74:AB74),"←３年の学級数（横）計が学科別内訳の計と一致しません。",
"")))</f>
        <v/>
      </c>
    </row>
    <row r="75" spans="1:33" ht="24" customHeight="1" thickBot="1">
      <c r="A75" s="1175" t="s">
        <v>1234</v>
      </c>
      <c r="B75" s="1176"/>
      <c r="C75" s="1176"/>
      <c r="D75" s="1173">
        <f t="shared" si="14"/>
        <v>0</v>
      </c>
      <c r="E75" s="1174"/>
      <c r="F75" s="175" t="s">
        <v>21</v>
      </c>
      <c r="G75" s="1171"/>
      <c r="H75" s="1171"/>
      <c r="I75" s="1171"/>
      <c r="J75" s="1171"/>
      <c r="K75" s="1171"/>
      <c r="L75" s="1171"/>
      <c r="M75" s="1171"/>
      <c r="N75" s="1171"/>
      <c r="O75" s="1171"/>
      <c r="P75" s="1171"/>
      <c r="Q75" s="1171"/>
      <c r="R75" s="1171"/>
      <c r="S75" s="1171"/>
      <c r="T75" s="1171"/>
      <c r="U75" s="1171"/>
      <c r="V75" s="1171"/>
      <c r="W75" s="1171"/>
      <c r="X75" s="1171"/>
      <c r="Y75" s="1171"/>
      <c r="Z75" s="1171"/>
      <c r="AA75" s="1171"/>
      <c r="AB75" s="1171"/>
      <c r="AC75" s="1193"/>
      <c r="AD75" s="1194"/>
      <c r="AE75" s="1195"/>
      <c r="AF75" s="616" t="str">
        <f>IF(OR($AG$38="本票回答不要",$AG$38="本票Ⅵのみ回答必要",$AG$38="本票Ⅰ生徒数のみ回答必要",$AG$38="本票Ⅰ生徒数・Ⅵ回答必要"),"",
IF(OR(AND($AG$53&gt;0,G75=""),AND($AG$55&gt;0,K75=""),AND($AG$57&gt;0,O75=""),AND($AG$59&gt;0,S75=""),AND($AG$61&gt;0,W75=""),AND($AG$63&gt;0,Z75="")),"←４年の学級数を入力してください。（設定がない場合は「0」を入力してください。）",
IF(D75&lt;&gt;SUM(G75:AB75),"←４年の学級数（横）計が学科別内訳の計と一致しません。",
"")))</f>
        <v/>
      </c>
    </row>
    <row r="76" spans="1:33" ht="4.9000000000000004" customHeight="1">
      <c r="A76" s="156"/>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row>
    <row r="77" spans="1:33" ht="4.9000000000000004" customHeight="1">
      <c r="A77" s="156"/>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row>
    <row r="78" spans="1:33" ht="4.9000000000000004" customHeight="1">
      <c r="A78" s="22"/>
      <c r="B78" s="23"/>
      <c r="C78" s="23"/>
      <c r="D78" s="23"/>
      <c r="E78" s="23"/>
      <c r="F78" s="9"/>
      <c r="G78" s="9"/>
      <c r="H78" s="9"/>
      <c r="I78" s="9"/>
      <c r="J78" s="9"/>
      <c r="K78" s="9"/>
      <c r="L78" s="9"/>
      <c r="M78" s="9"/>
      <c r="N78" s="9"/>
      <c r="O78" s="9"/>
      <c r="P78" s="9"/>
      <c r="Q78" s="9"/>
      <c r="R78" s="9"/>
      <c r="S78" s="9"/>
      <c r="T78" s="9"/>
      <c r="U78" s="9"/>
      <c r="V78" s="9"/>
      <c r="W78" s="9"/>
      <c r="X78" s="9"/>
      <c r="Y78" s="9"/>
      <c r="Z78" s="9"/>
      <c r="AA78" s="9"/>
      <c r="AB78" s="9"/>
      <c r="AC78" s="9"/>
      <c r="AD78" s="9"/>
      <c r="AE78" s="9"/>
    </row>
    <row r="79" spans="1:33" ht="15" customHeight="1" thickBot="1">
      <c r="A79" s="208" t="s">
        <v>1262</v>
      </c>
      <c r="B79" s="198"/>
      <c r="C79" s="198"/>
      <c r="D79" s="198"/>
      <c r="E79" s="198"/>
      <c r="F79" s="198"/>
      <c r="G79" s="198"/>
      <c r="H79" s="198"/>
      <c r="I79" s="198"/>
      <c r="J79" s="198"/>
      <c r="K79" s="198"/>
      <c r="L79" s="198"/>
      <c r="M79" s="198"/>
      <c r="N79" s="198"/>
      <c r="O79" s="9"/>
      <c r="P79" s="9"/>
      <c r="Q79" s="9"/>
      <c r="R79" s="9"/>
      <c r="S79" s="9"/>
      <c r="T79" s="9"/>
      <c r="U79" s="9"/>
      <c r="V79" s="9"/>
      <c r="W79" s="9"/>
      <c r="X79" s="9"/>
      <c r="Y79" s="9"/>
      <c r="Z79" s="9"/>
      <c r="AA79" s="24"/>
      <c r="AB79" s="24"/>
      <c r="AC79" s="24"/>
      <c r="AD79" s="24"/>
      <c r="AE79" s="25" t="s">
        <v>1</v>
      </c>
      <c r="AF79" s="924" t="str">
        <f>IF(OR($AG$38="本票回答不要",$AG$38="本票Ⅵのみ回答必要",$AG$38="本票Ⅰ生徒数のみ回答必要",$AG$38="本票Ⅰ生徒数・Ⅵ回答必要"),"",
IF(OR(AND($AG$53&gt;0,COUNTA(G81:G87,G89:G90,G92:G93,G95:G96)&lt;13),
AND($AG$55&gt;0,COUNTA(K81:K87,K89:K90,K92:K93,K95:K96)&lt;13),
AND($AG$57&gt;0,COUNTA(O81:O87,O89:O90,O92:O93,O95:O96)&lt;13),
AND($AG$59&gt;0,COUNTA(S81:S87,S89:S90,S92:S93,S95:S96)&lt;13),
AND(SUM($AG$61:$AG$63)&gt;0,COUNTA(W81:W87,W89:W90,W92:W93,W95:W96)&lt;13)),
"←各納付金を入力してください。設定のない項目については「0」を入力してください。",""))</f>
        <v/>
      </c>
    </row>
    <row r="80" spans="1:33" ht="18" customHeight="1">
      <c r="A80" s="952" t="s">
        <v>12</v>
      </c>
      <c r="B80" s="1364"/>
      <c r="C80" s="1364"/>
      <c r="D80" s="1364"/>
      <c r="E80" s="1364"/>
      <c r="F80" s="1365"/>
      <c r="G80" s="1177" t="s">
        <v>14</v>
      </c>
      <c r="H80" s="953"/>
      <c r="I80" s="953"/>
      <c r="J80" s="954"/>
      <c r="K80" s="1216" t="s">
        <v>59</v>
      </c>
      <c r="L80" s="1217"/>
      <c r="M80" s="1217"/>
      <c r="N80" s="1218"/>
      <c r="O80" s="1216" t="s">
        <v>60</v>
      </c>
      <c r="P80" s="1217"/>
      <c r="Q80" s="1217"/>
      <c r="R80" s="1218"/>
      <c r="S80" s="1216" t="s">
        <v>56</v>
      </c>
      <c r="T80" s="1217"/>
      <c r="U80" s="1217"/>
      <c r="V80" s="1218"/>
      <c r="W80" s="1216" t="s">
        <v>20</v>
      </c>
      <c r="X80" s="1217"/>
      <c r="Y80" s="1217"/>
      <c r="Z80" s="1218"/>
      <c r="AA80" s="1196" t="s">
        <v>15</v>
      </c>
      <c r="AB80" s="962"/>
      <c r="AC80" s="962"/>
      <c r="AD80" s="962"/>
      <c r="AE80" s="1197"/>
      <c r="AF80" s="924"/>
    </row>
    <row r="81" spans="1:32" ht="20.100000000000001" customHeight="1">
      <c r="A81" s="1366" t="s">
        <v>1227</v>
      </c>
      <c r="B81" s="1367"/>
      <c r="C81" s="1361" t="s">
        <v>1236</v>
      </c>
      <c r="D81" s="1361"/>
      <c r="E81" s="1361"/>
      <c r="F81" s="1361"/>
      <c r="G81" s="1206"/>
      <c r="H81" s="1206"/>
      <c r="I81" s="1207"/>
      <c r="J81" s="199" t="s">
        <v>18</v>
      </c>
      <c r="K81" s="1206"/>
      <c r="L81" s="1206"/>
      <c r="M81" s="1207"/>
      <c r="N81" s="199" t="s">
        <v>18</v>
      </c>
      <c r="O81" s="1206"/>
      <c r="P81" s="1206"/>
      <c r="Q81" s="1207"/>
      <c r="R81" s="199" t="s">
        <v>18</v>
      </c>
      <c r="S81" s="1206"/>
      <c r="T81" s="1206"/>
      <c r="U81" s="1207"/>
      <c r="V81" s="199" t="s">
        <v>18</v>
      </c>
      <c r="W81" s="1206"/>
      <c r="X81" s="1206"/>
      <c r="Y81" s="1207"/>
      <c r="Z81" s="199" t="s">
        <v>18</v>
      </c>
      <c r="AA81" s="1198"/>
      <c r="AB81" s="1198"/>
      <c r="AC81" s="1198"/>
      <c r="AD81" s="1198"/>
      <c r="AE81" s="1199"/>
      <c r="AF81" s="617" t="str">
        <f>IF(OR($AG$38="本票回答不要",$AG$38="本票Ⅵのみ回答必要",$AG$38="本票Ⅰ生徒数のみ回答必要",$AG$38="本票Ⅰ生徒数・Ⅵ回答必要"),"",
IF(OR(AND($AG$53&gt;0,AND(G81&lt;&gt;"",G81&lt;100000)),
AND($AG$55&gt;0,AND(K81&lt;&gt;"",K81&lt;100000)),
AND($AG$57&gt;0,AND(O81&lt;&gt;"",O81&lt;100000)),
AND($AG$59&gt;0,AND(S81&lt;&gt;"",S81&lt;100000)),
AND(SUM($AG$61:$AG$63)&gt;0,AND(W81&lt;&gt;"",W81&lt;100000))),"←授業料が１０万円未満となっていますが正しいでしょうか。正しい場合はそのままで結構です。",
IF(OR(AND($AG$53&gt;0,G81&gt;=2000000),
AND($AG$55&gt;0,K81&gt;=2000000),
AND($AG$57&gt;0,O81&gt;=2000000),
AND($AG$59&gt;0,S81&gt;=2000000),
AND(SUM($AG$61:$AG$63)&gt;0,W81&gt;=2000000)),"←授業料が２００万円以上となっていますが正しいでしょうか。正しい場合はそのままで結構です。","")))</f>
        <v/>
      </c>
    </row>
    <row r="82" spans="1:32" ht="20.100000000000001" customHeight="1">
      <c r="A82" s="1366"/>
      <c r="B82" s="1367"/>
      <c r="C82" s="1219" t="s">
        <v>1235</v>
      </c>
      <c r="D82" s="1219"/>
      <c r="E82" s="1219"/>
      <c r="F82" s="1219"/>
      <c r="G82" s="1208"/>
      <c r="H82" s="1208"/>
      <c r="I82" s="1209"/>
      <c r="J82" s="200" t="s">
        <v>18</v>
      </c>
      <c r="K82" s="1208"/>
      <c r="L82" s="1208"/>
      <c r="M82" s="1209"/>
      <c r="N82" s="200" t="s">
        <v>18</v>
      </c>
      <c r="O82" s="1208"/>
      <c r="P82" s="1208"/>
      <c r="Q82" s="1209"/>
      <c r="R82" s="200" t="s">
        <v>18</v>
      </c>
      <c r="S82" s="1208"/>
      <c r="T82" s="1208"/>
      <c r="U82" s="1209"/>
      <c r="V82" s="200" t="s">
        <v>18</v>
      </c>
      <c r="W82" s="1208"/>
      <c r="X82" s="1208"/>
      <c r="Y82" s="1209"/>
      <c r="Z82" s="200" t="s">
        <v>18</v>
      </c>
      <c r="AA82" s="1200"/>
      <c r="AB82" s="1200"/>
      <c r="AC82" s="1200"/>
      <c r="AD82" s="1200"/>
      <c r="AE82" s="1201"/>
      <c r="AF82" s="617" t="str">
        <f>IF(OR($AG$38="本票回答不要",$AG$38="本票Ⅵのみ回答必要",$AG$38="本票Ⅰ生徒数のみ回答必要",$AG$38="本票Ⅰ生徒数・Ⅵ回答必要"),"",
IF(OR(AND($AG$53&gt;0,AND(G82&lt;&gt;"",G82&lt;10000)),
AND($AG$55&gt;0,AND(K82&lt;&gt;"",K82&lt;10000)),
AND($AG$57&gt;0,AND(O82&lt;&gt;"",O82&lt;10000)),
AND($AG$59&gt;0,AND(S82&lt;&gt;"",S82&lt;10000)),
AND(SUM($AG$61:$AG$63)&gt;0,AND(W82&lt;&gt;"",W82&lt;10000))),"←入学金が１万円未満となっていますが正しいでしょうか。正しい場合はそのままで結構です。",
IF(OR(AND($AG$53&gt;0,G82&gt;=500000),
AND($AG$55&gt;0,K82&gt;=500000),
AND($AG$57&gt;0,O82&gt;=500000),
AND($AG$59&gt;0,S82&gt;=500000),
AND(SUM($AG$61:$AG$63)&gt;0,W82&gt;=500000)),"←入学金が５０万円以上となっていますが正しいでしょうか。正しい場合はそのままで結構です。","")))</f>
        <v/>
      </c>
    </row>
    <row r="83" spans="1:32" ht="20.100000000000001" customHeight="1">
      <c r="A83" s="1366"/>
      <c r="B83" s="1367"/>
      <c r="C83" s="1219" t="s">
        <v>1237</v>
      </c>
      <c r="D83" s="1219"/>
      <c r="E83" s="1219"/>
      <c r="F83" s="1219"/>
      <c r="G83" s="1208"/>
      <c r="H83" s="1208"/>
      <c r="I83" s="1209"/>
      <c r="J83" s="200" t="s">
        <v>18</v>
      </c>
      <c r="K83" s="1208"/>
      <c r="L83" s="1208"/>
      <c r="M83" s="1209"/>
      <c r="N83" s="200" t="s">
        <v>18</v>
      </c>
      <c r="O83" s="1208"/>
      <c r="P83" s="1208"/>
      <c r="Q83" s="1209"/>
      <c r="R83" s="200" t="s">
        <v>18</v>
      </c>
      <c r="S83" s="1208"/>
      <c r="T83" s="1208"/>
      <c r="U83" s="1209"/>
      <c r="V83" s="200" t="s">
        <v>18</v>
      </c>
      <c r="W83" s="1208"/>
      <c r="X83" s="1208"/>
      <c r="Y83" s="1209"/>
      <c r="Z83" s="200" t="s">
        <v>18</v>
      </c>
      <c r="AA83" s="1200"/>
      <c r="AB83" s="1200"/>
      <c r="AC83" s="1200"/>
      <c r="AD83" s="1200"/>
      <c r="AE83" s="1201"/>
      <c r="AF83" s="618"/>
    </row>
    <row r="84" spans="1:32" ht="20.100000000000001" customHeight="1">
      <c r="A84" s="1366"/>
      <c r="B84" s="1367"/>
      <c r="C84" s="1219" t="s">
        <v>1238</v>
      </c>
      <c r="D84" s="1219"/>
      <c r="E84" s="1219"/>
      <c r="F84" s="1219"/>
      <c r="G84" s="1208"/>
      <c r="H84" s="1208"/>
      <c r="I84" s="1209"/>
      <c r="J84" s="200" t="s">
        <v>18</v>
      </c>
      <c r="K84" s="1208"/>
      <c r="L84" s="1208"/>
      <c r="M84" s="1209"/>
      <c r="N84" s="200" t="s">
        <v>18</v>
      </c>
      <c r="O84" s="1208"/>
      <c r="P84" s="1208"/>
      <c r="Q84" s="1209"/>
      <c r="R84" s="200" t="s">
        <v>18</v>
      </c>
      <c r="S84" s="1208"/>
      <c r="T84" s="1208"/>
      <c r="U84" s="1209"/>
      <c r="V84" s="200" t="s">
        <v>18</v>
      </c>
      <c r="W84" s="1208"/>
      <c r="X84" s="1208"/>
      <c r="Y84" s="1209"/>
      <c r="Z84" s="200" t="s">
        <v>18</v>
      </c>
      <c r="AA84" s="1200"/>
      <c r="AB84" s="1200"/>
      <c r="AC84" s="1200"/>
      <c r="AD84" s="1200"/>
      <c r="AE84" s="1201"/>
      <c r="AF84" s="618"/>
    </row>
    <row r="85" spans="1:32" ht="20.100000000000001" customHeight="1">
      <c r="A85" s="1366"/>
      <c r="B85" s="1367"/>
      <c r="C85" s="1219" t="s">
        <v>1239</v>
      </c>
      <c r="D85" s="1219"/>
      <c r="E85" s="1219"/>
      <c r="F85" s="1219"/>
      <c r="G85" s="1208"/>
      <c r="H85" s="1208"/>
      <c r="I85" s="1209"/>
      <c r="J85" s="200" t="s">
        <v>18</v>
      </c>
      <c r="K85" s="1208"/>
      <c r="L85" s="1208"/>
      <c r="M85" s="1209"/>
      <c r="N85" s="200" t="s">
        <v>18</v>
      </c>
      <c r="O85" s="1208"/>
      <c r="P85" s="1208"/>
      <c r="Q85" s="1209"/>
      <c r="R85" s="200" t="s">
        <v>18</v>
      </c>
      <c r="S85" s="1208"/>
      <c r="T85" s="1208"/>
      <c r="U85" s="1209"/>
      <c r="V85" s="200" t="s">
        <v>18</v>
      </c>
      <c r="W85" s="1208"/>
      <c r="X85" s="1208"/>
      <c r="Y85" s="1209"/>
      <c r="Z85" s="200" t="s">
        <v>18</v>
      </c>
      <c r="AA85" s="1200"/>
      <c r="AB85" s="1200"/>
      <c r="AC85" s="1200"/>
      <c r="AD85" s="1200"/>
      <c r="AE85" s="1201"/>
      <c r="AF85" s="618"/>
    </row>
    <row r="86" spans="1:32" ht="20.100000000000001" customHeight="1">
      <c r="A86" s="1366"/>
      <c r="B86" s="1367"/>
      <c r="C86" s="1219" t="s">
        <v>1240</v>
      </c>
      <c r="D86" s="1219"/>
      <c r="E86" s="1219"/>
      <c r="F86" s="1219"/>
      <c r="G86" s="1208"/>
      <c r="H86" s="1208"/>
      <c r="I86" s="1209"/>
      <c r="J86" s="200" t="s">
        <v>18</v>
      </c>
      <c r="K86" s="1208"/>
      <c r="L86" s="1208"/>
      <c r="M86" s="1209"/>
      <c r="N86" s="200" t="s">
        <v>18</v>
      </c>
      <c r="O86" s="1208"/>
      <c r="P86" s="1208"/>
      <c r="Q86" s="1209"/>
      <c r="R86" s="200" t="s">
        <v>18</v>
      </c>
      <c r="S86" s="1208"/>
      <c r="T86" s="1208"/>
      <c r="U86" s="1209"/>
      <c r="V86" s="200" t="s">
        <v>18</v>
      </c>
      <c r="W86" s="1208"/>
      <c r="X86" s="1208"/>
      <c r="Y86" s="1209"/>
      <c r="Z86" s="200" t="s">
        <v>18</v>
      </c>
      <c r="AA86" s="1200"/>
      <c r="AB86" s="1200"/>
      <c r="AC86" s="1200"/>
      <c r="AD86" s="1200"/>
      <c r="AE86" s="1201"/>
      <c r="AF86" s="618"/>
    </row>
    <row r="87" spans="1:32" ht="20.100000000000001" customHeight="1" thickBot="1">
      <c r="A87" s="1366"/>
      <c r="B87" s="1367"/>
      <c r="C87" s="1348" t="s">
        <v>1324</v>
      </c>
      <c r="D87" s="1348"/>
      <c r="E87" s="1348"/>
      <c r="F87" s="1348"/>
      <c r="G87" s="1214"/>
      <c r="H87" s="1214"/>
      <c r="I87" s="1215"/>
      <c r="J87" s="201" t="s">
        <v>18</v>
      </c>
      <c r="K87" s="1214"/>
      <c r="L87" s="1214"/>
      <c r="M87" s="1215"/>
      <c r="N87" s="201" t="s">
        <v>18</v>
      </c>
      <c r="O87" s="1214"/>
      <c r="P87" s="1214"/>
      <c r="Q87" s="1215"/>
      <c r="R87" s="201" t="s">
        <v>18</v>
      </c>
      <c r="S87" s="1214"/>
      <c r="T87" s="1214"/>
      <c r="U87" s="1215"/>
      <c r="V87" s="201" t="s">
        <v>18</v>
      </c>
      <c r="W87" s="1214"/>
      <c r="X87" s="1214"/>
      <c r="Y87" s="1215"/>
      <c r="Z87" s="201" t="s">
        <v>18</v>
      </c>
      <c r="AA87" s="1200"/>
      <c r="AB87" s="1200"/>
      <c r="AC87" s="1200"/>
      <c r="AD87" s="1200"/>
      <c r="AE87" s="1201"/>
      <c r="AF87" s="618"/>
    </row>
    <row r="88" spans="1:32" ht="20.100000000000001" customHeight="1" thickBot="1">
      <c r="A88" s="1139"/>
      <c r="B88" s="1368"/>
      <c r="C88" s="1362" t="s">
        <v>1325</v>
      </c>
      <c r="D88" s="1363"/>
      <c r="E88" s="1363"/>
      <c r="F88" s="1363"/>
      <c r="G88" s="1210">
        <f>SUM(G81,G82,G83,G84,G85,G86)</f>
        <v>0</v>
      </c>
      <c r="H88" s="1210"/>
      <c r="I88" s="1211"/>
      <c r="J88" s="202" t="s">
        <v>18</v>
      </c>
      <c r="K88" s="1210">
        <f>SUM(K81,K82,K83,K84,K85,K86)</f>
        <v>0</v>
      </c>
      <c r="L88" s="1210"/>
      <c r="M88" s="1211"/>
      <c r="N88" s="202" t="s">
        <v>18</v>
      </c>
      <c r="O88" s="1210">
        <f>SUM(O81,O82,O83,O84,O85,O86)</f>
        <v>0</v>
      </c>
      <c r="P88" s="1210"/>
      <c r="Q88" s="1211"/>
      <c r="R88" s="202" t="s">
        <v>18</v>
      </c>
      <c r="S88" s="1210">
        <f>SUM(S81,S82,S83,S84,S85,S86)</f>
        <v>0</v>
      </c>
      <c r="T88" s="1210"/>
      <c r="U88" s="1211"/>
      <c r="V88" s="202" t="s">
        <v>18</v>
      </c>
      <c r="W88" s="1210">
        <f>SUM(W81,W82,W83,W84,W85,W86)</f>
        <v>0</v>
      </c>
      <c r="X88" s="1210"/>
      <c r="Y88" s="1211"/>
      <c r="Z88" s="202" t="s">
        <v>18</v>
      </c>
      <c r="AA88" s="1200"/>
      <c r="AB88" s="1200"/>
      <c r="AC88" s="1200"/>
      <c r="AD88" s="1200"/>
      <c r="AE88" s="1201"/>
      <c r="AF88" s="619" t="str">
        <f>IF(OR($AG$38="本票回答不要",$AG$38="本票Ⅵのみ回答必要",$AG$38="本票Ⅰ生徒数のみ回答必要",$AG$38="本票Ⅰ生徒数・Ⅵ回答必要"),"",
IF(OR(AND($AG$53&gt;0,SUM(G81:G86)&lt;&gt;G88),
AND($AG$55&gt;0,SUM(K81:K86)&lt;&gt;K88),
AND($AG$57&gt;0,SUM(O81:O86)&lt;&gt;O88),
AND($AG$59&gt;0,SUM(S81:S86)&lt;&gt;S88),
AND(SUM($AG$61:$AG$63)&gt;0,SUM(W81:W86)&lt;&gt;W88)),
"←１年次納付金（縦）計が、明細の合計と一致しません。",""))</f>
        <v/>
      </c>
    </row>
    <row r="89" spans="1:32" ht="20.100000000000001" customHeight="1">
      <c r="A89" s="636" t="s">
        <v>1241</v>
      </c>
      <c r="B89" s="637"/>
      <c r="C89" s="1339" t="s">
        <v>1236</v>
      </c>
      <c r="D89" s="1339"/>
      <c r="E89" s="1339"/>
      <c r="F89" s="1339"/>
      <c r="G89" s="1212"/>
      <c r="H89" s="1212"/>
      <c r="I89" s="1213"/>
      <c r="J89" s="203" t="s">
        <v>18</v>
      </c>
      <c r="K89" s="1212"/>
      <c r="L89" s="1212"/>
      <c r="M89" s="1213"/>
      <c r="N89" s="203" t="s">
        <v>18</v>
      </c>
      <c r="O89" s="1212"/>
      <c r="P89" s="1212"/>
      <c r="Q89" s="1213"/>
      <c r="R89" s="203" t="s">
        <v>18</v>
      </c>
      <c r="S89" s="1212"/>
      <c r="T89" s="1212"/>
      <c r="U89" s="1213"/>
      <c r="V89" s="203" t="s">
        <v>18</v>
      </c>
      <c r="W89" s="1212"/>
      <c r="X89" s="1212"/>
      <c r="Y89" s="1213"/>
      <c r="Z89" s="203" t="s">
        <v>18</v>
      </c>
      <c r="AA89" s="1200"/>
      <c r="AB89" s="1200"/>
      <c r="AC89" s="1200"/>
      <c r="AD89" s="1200"/>
      <c r="AE89" s="1201"/>
      <c r="AF89" s="617" t="str">
        <f>IF(OR($AG$38="本票回答不要",$AG$38="本票Ⅵのみ回答必要",$AG$38="本票Ⅰ生徒数のみ回答必要",$AG$38="本票Ⅰ生徒数・Ⅵ回答必要"),"",
IF(OR(AND($AG$53&gt;0,AND(G89&lt;&gt;"",G89&lt;100000)),
AND($AG$55&gt;0,AND(K89&lt;&gt;"",K89&lt;100000)),
AND($AG$57&gt;0,AND(O89&lt;&gt;"",O89&lt;100000)),
AND($AG$59&gt;0,AND(S89&lt;&gt;"",S89&lt;100000)),
AND(SUM($AG$61:$AG$63)&gt;0,AND(W89&lt;&gt;"",W89&lt;100000))),"←授業料が１０万円未満となっていますが正しいでしょうか。正しい場合はそのままで結構です。",
IF(OR(AND($AG$53&gt;0,G89&gt;=2000000),
AND($AG$55&gt;0,K89&gt;=2000000),
AND($AG$57&gt;0,O89&gt;=2000000),
AND($AG$59&gt;0,S89&gt;=2000000),
AND(SUM($AG$61:$AG$63)&gt;0,W89&gt;=2000000)),"←授業料が２００万円以上となっていますが正しいでしょうか。正しい場合はそのままで結構です。","")))</f>
        <v/>
      </c>
    </row>
    <row r="90" spans="1:32" ht="20.100000000000001" customHeight="1" thickBot="1">
      <c r="A90" s="638"/>
      <c r="B90" s="639"/>
      <c r="C90" s="647" t="s">
        <v>50</v>
      </c>
      <c r="D90" s="647"/>
      <c r="E90" s="647"/>
      <c r="F90" s="647"/>
      <c r="G90" s="1214"/>
      <c r="H90" s="1214"/>
      <c r="I90" s="1215"/>
      <c r="J90" s="201" t="s">
        <v>18</v>
      </c>
      <c r="K90" s="1214"/>
      <c r="L90" s="1214"/>
      <c r="M90" s="1215"/>
      <c r="N90" s="201" t="s">
        <v>18</v>
      </c>
      <c r="O90" s="1214"/>
      <c r="P90" s="1214"/>
      <c r="Q90" s="1215"/>
      <c r="R90" s="201" t="s">
        <v>18</v>
      </c>
      <c r="S90" s="1214"/>
      <c r="T90" s="1214"/>
      <c r="U90" s="1215"/>
      <c r="V90" s="201" t="s">
        <v>18</v>
      </c>
      <c r="W90" s="1214"/>
      <c r="X90" s="1214"/>
      <c r="Y90" s="1215"/>
      <c r="Z90" s="201" t="s">
        <v>18</v>
      </c>
      <c r="AA90" s="1200"/>
      <c r="AB90" s="1200"/>
      <c r="AC90" s="1200"/>
      <c r="AD90" s="1200"/>
      <c r="AE90" s="1201"/>
      <c r="AF90" s="620"/>
    </row>
    <row r="91" spans="1:32" ht="20.100000000000001" customHeight="1" thickBot="1">
      <c r="A91" s="640"/>
      <c r="B91" s="641"/>
      <c r="C91" s="623" t="s">
        <v>1215</v>
      </c>
      <c r="D91" s="624"/>
      <c r="E91" s="624"/>
      <c r="F91" s="624"/>
      <c r="G91" s="1210">
        <f>SUM(G89:I90)</f>
        <v>0</v>
      </c>
      <c r="H91" s="1210"/>
      <c r="I91" s="1211"/>
      <c r="J91" s="202" t="s">
        <v>18</v>
      </c>
      <c r="K91" s="1210">
        <f>SUM(K89:M90)</f>
        <v>0</v>
      </c>
      <c r="L91" s="1210"/>
      <c r="M91" s="1211"/>
      <c r="N91" s="202" t="s">
        <v>18</v>
      </c>
      <c r="O91" s="1210">
        <f>SUM(O89:Q90)</f>
        <v>0</v>
      </c>
      <c r="P91" s="1210"/>
      <c r="Q91" s="1211"/>
      <c r="R91" s="202" t="s">
        <v>18</v>
      </c>
      <c r="S91" s="1210">
        <f>SUM(S89:U90)</f>
        <v>0</v>
      </c>
      <c r="T91" s="1210"/>
      <c r="U91" s="1211"/>
      <c r="V91" s="202" t="s">
        <v>18</v>
      </c>
      <c r="W91" s="1210">
        <f>SUM(W89:Y90)</f>
        <v>0</v>
      </c>
      <c r="X91" s="1210"/>
      <c r="Y91" s="1211"/>
      <c r="Z91" s="202" t="s">
        <v>18</v>
      </c>
      <c r="AA91" s="1200"/>
      <c r="AB91" s="1200"/>
      <c r="AC91" s="1200"/>
      <c r="AD91" s="1200"/>
      <c r="AE91" s="1201"/>
      <c r="AF91" s="619" t="str">
        <f>IF(OR($AG$38="本票回答不要",$AG$38="本票Ⅵのみ回答必要",$AG$38="本票Ⅰ生徒数のみ回答必要",$AG$38="本票Ⅰ生徒数・Ⅵ回答必要"),"",
IF(OR(AND($AG$53&gt;0,SUM(G89:G90)&lt;&gt;G91),
AND($AG$55&gt;0,SUM(K89:K90)&lt;&gt;K91),
AND($AG$57&gt;0,SUM(O89:O90)&lt;&gt;O91),
AND($AG$59&gt;0,SUM(S89:S90)&lt;&gt;S91),
AND(SUM($AG$61:$AG$63)&gt;0,SUM(W89:W90)&lt;&gt;W91)),
"←２年次納付金（縦）計が、明細の合計と一致しません。",""))</f>
        <v/>
      </c>
    </row>
    <row r="92" spans="1:32" ht="20.100000000000001" customHeight="1">
      <c r="A92" s="1344" t="s">
        <v>1242</v>
      </c>
      <c r="B92" s="1345"/>
      <c r="C92" s="1340" t="s">
        <v>1236</v>
      </c>
      <c r="D92" s="1340"/>
      <c r="E92" s="1340"/>
      <c r="F92" s="1340"/>
      <c r="G92" s="1212"/>
      <c r="H92" s="1212"/>
      <c r="I92" s="1213"/>
      <c r="J92" s="203" t="s">
        <v>18</v>
      </c>
      <c r="K92" s="1212"/>
      <c r="L92" s="1212"/>
      <c r="M92" s="1213"/>
      <c r="N92" s="203" t="s">
        <v>18</v>
      </c>
      <c r="O92" s="1212"/>
      <c r="P92" s="1212"/>
      <c r="Q92" s="1213"/>
      <c r="R92" s="203" t="s">
        <v>18</v>
      </c>
      <c r="S92" s="1212"/>
      <c r="T92" s="1212"/>
      <c r="U92" s="1213"/>
      <c r="V92" s="203" t="s">
        <v>18</v>
      </c>
      <c r="W92" s="1212"/>
      <c r="X92" s="1212"/>
      <c r="Y92" s="1213"/>
      <c r="Z92" s="203" t="s">
        <v>18</v>
      </c>
      <c r="AA92" s="1200"/>
      <c r="AB92" s="1200"/>
      <c r="AC92" s="1200"/>
      <c r="AD92" s="1200"/>
      <c r="AE92" s="1201"/>
      <c r="AF92" s="617" t="str">
        <f>IF(OR($AG$38="本票回答不要",$AG$38="本票Ⅵのみ回答必要",$AG$38="本票Ⅰ生徒数のみ回答必要",$AG$38="本票Ⅰ生徒数・Ⅵ回答必要"),"",
IF(OR(AND($AG$53&gt;0,AND(G92&lt;&gt;"",G92&lt;100000)),
AND($AG$55&gt;0,AND(K92&lt;&gt;"",K92&lt;100000)),
AND($AG$57&gt;0,AND(O92&lt;&gt;"",O92&lt;100000)),
AND($AG$59&gt;0,AND(S92&lt;&gt;"",S92&lt;100000)),
AND(SUM($AG$61:$AG$63)&gt;0,AND(W92&lt;&gt;"",W92&lt;100000))),"←授業料が１０万円未満となっていますが正しいでしょうか。正しい場合はそのままで結構です。",
IF(OR(AND($AG$53&gt;0,G92&gt;=2000000),
AND($AG$55&gt;0,K92&gt;=2000000),
AND($AG$57&gt;0,O92&gt;=2000000),
AND($AG$59&gt;0,S92&gt;=2000000),
AND(SUM($AG$61:$AG$63)&gt;0,W92&gt;=2000000)),"←授業料が２００万円以上となっていますが正しいでしょうか。正しい場合はそのままで結構です。","")))</f>
        <v/>
      </c>
    </row>
    <row r="93" spans="1:32" ht="20.100000000000001" customHeight="1" thickBot="1">
      <c r="A93" s="659"/>
      <c r="B93" s="660"/>
      <c r="C93" s="1341" t="s">
        <v>50</v>
      </c>
      <c r="D93" s="1341"/>
      <c r="E93" s="1341"/>
      <c r="F93" s="1341"/>
      <c r="G93" s="1214"/>
      <c r="H93" s="1214"/>
      <c r="I93" s="1215"/>
      <c r="J93" s="201" t="s">
        <v>18</v>
      </c>
      <c r="K93" s="1214"/>
      <c r="L93" s="1214"/>
      <c r="M93" s="1215"/>
      <c r="N93" s="201" t="s">
        <v>18</v>
      </c>
      <c r="O93" s="1214"/>
      <c r="P93" s="1214"/>
      <c r="Q93" s="1215"/>
      <c r="R93" s="201" t="s">
        <v>18</v>
      </c>
      <c r="S93" s="1214"/>
      <c r="T93" s="1214"/>
      <c r="U93" s="1215"/>
      <c r="V93" s="201" t="s">
        <v>18</v>
      </c>
      <c r="W93" s="1214"/>
      <c r="X93" s="1214"/>
      <c r="Y93" s="1215"/>
      <c r="Z93" s="201" t="s">
        <v>18</v>
      </c>
      <c r="AA93" s="1200"/>
      <c r="AB93" s="1200"/>
      <c r="AC93" s="1200"/>
      <c r="AD93" s="1200"/>
      <c r="AE93" s="1201"/>
      <c r="AF93" s="620"/>
    </row>
    <row r="94" spans="1:32" ht="20.100000000000001" customHeight="1" thickBot="1">
      <c r="A94" s="1346"/>
      <c r="B94" s="1347"/>
      <c r="C94" s="1342" t="s">
        <v>1215</v>
      </c>
      <c r="D94" s="1343"/>
      <c r="E94" s="1343"/>
      <c r="F94" s="1343"/>
      <c r="G94" s="1210">
        <f>SUM(G92:I93)</f>
        <v>0</v>
      </c>
      <c r="H94" s="1210"/>
      <c r="I94" s="1211"/>
      <c r="J94" s="202" t="s">
        <v>18</v>
      </c>
      <c r="K94" s="1210">
        <f>SUM(K92:M93)</f>
        <v>0</v>
      </c>
      <c r="L94" s="1210"/>
      <c r="M94" s="1211"/>
      <c r="N94" s="202" t="s">
        <v>18</v>
      </c>
      <c r="O94" s="1210">
        <f>SUM(O92:Q93)</f>
        <v>0</v>
      </c>
      <c r="P94" s="1210"/>
      <c r="Q94" s="1211"/>
      <c r="R94" s="202" t="s">
        <v>18</v>
      </c>
      <c r="S94" s="1210">
        <f>SUM(S92:U93)</f>
        <v>0</v>
      </c>
      <c r="T94" s="1210"/>
      <c r="U94" s="1211"/>
      <c r="V94" s="202" t="s">
        <v>18</v>
      </c>
      <c r="W94" s="1210">
        <f>SUM(W92:Y93)</f>
        <v>0</v>
      </c>
      <c r="X94" s="1210"/>
      <c r="Y94" s="1211"/>
      <c r="Z94" s="202" t="s">
        <v>18</v>
      </c>
      <c r="AA94" s="1200"/>
      <c r="AB94" s="1200"/>
      <c r="AC94" s="1200"/>
      <c r="AD94" s="1200"/>
      <c r="AE94" s="1201"/>
      <c r="AF94" s="619" t="str">
        <f>IF(OR($AG$38="本票回答不要",$AG$38="本票Ⅵのみ回答必要",$AG$38="本票Ⅰ生徒数のみ回答必要",$AG$38="本票Ⅰ生徒数・Ⅵ回答必要"),"",
IF(OR(AND($AG$53&gt;0,SUM(G92:G93)&lt;&gt;G94),
AND($AG$55&gt;0,SUM(K92:K93)&lt;&gt;K94),
AND($AG$57&gt;0,SUM(O92:O93)&lt;&gt;O94),
AND($AG$59&gt;0,SUM(S92:S93)&lt;&gt;S94),
AND(SUM($AG$61:$AG$63)&gt;0,SUM(W92:W93)&lt;&gt;W94)),
"←３年次納付金（縦）計が、明細の合計と一致しません。",""))</f>
        <v/>
      </c>
    </row>
    <row r="95" spans="1:32" ht="20.100000000000001" customHeight="1">
      <c r="A95" s="1349" t="s">
        <v>1243</v>
      </c>
      <c r="B95" s="1350"/>
      <c r="C95" s="1376" t="s">
        <v>1236</v>
      </c>
      <c r="D95" s="1376"/>
      <c r="E95" s="1376"/>
      <c r="F95" s="1376"/>
      <c r="G95" s="1204"/>
      <c r="H95" s="1204"/>
      <c r="I95" s="1205"/>
      <c r="J95" s="204" t="s">
        <v>18</v>
      </c>
      <c r="K95" s="1204"/>
      <c r="L95" s="1204"/>
      <c r="M95" s="1205"/>
      <c r="N95" s="204" t="s">
        <v>18</v>
      </c>
      <c r="O95" s="1204"/>
      <c r="P95" s="1204"/>
      <c r="Q95" s="1205"/>
      <c r="R95" s="204" t="s">
        <v>18</v>
      </c>
      <c r="S95" s="1204"/>
      <c r="T95" s="1204"/>
      <c r="U95" s="1205"/>
      <c r="V95" s="204" t="s">
        <v>18</v>
      </c>
      <c r="W95" s="1204"/>
      <c r="X95" s="1204"/>
      <c r="Y95" s="1205"/>
      <c r="Z95" s="204" t="s">
        <v>18</v>
      </c>
      <c r="AA95" s="1200"/>
      <c r="AB95" s="1200"/>
      <c r="AC95" s="1200"/>
      <c r="AD95" s="1200"/>
      <c r="AE95" s="1201"/>
      <c r="AF95" s="617" t="str">
        <f>IF(OR($AG$38="本票回答不要",$AG$38="本票Ⅵのみ回答必要",$AG$38="本票Ⅰ生徒数のみ回答必要",$AG$38="本票Ⅰ生徒数・Ⅵ回答必要"),"",
IF(OR(AND($AG$53&gt;0,AND(G95&lt;&gt;"",G95&lt;100000)),
AND($AG$55&gt;0,AND(K95&lt;&gt;"",K95&lt;100000)),
AND($AG$57&gt;0,AND(O95&lt;&gt;"",O95&lt;100000)),
AND($AG$59&gt;0,AND(S95&lt;&gt;"",S95&lt;100000)),
AND(SUM($AG$61:$AG$63)&gt;0,AND(W95&lt;&gt;"",W95&lt;100000))),"←授業料が１０万円未満となっていますが正しいでしょうか。正しい場合はそのままで結構です。",
IF(OR(AND($AG$53&gt;0,G95&gt;=2000000),
AND($AG$55&gt;0,K95&gt;=2000000),
AND($AG$57&gt;0,O95&gt;=2000000),
AND($AG$59&gt;0,S95&gt;=2000000),
AND(SUM($AG$61:$AG$63)&gt;0,W95&gt;=2000000)),"←授業料が２００万円以上となっていますが正しいでしょうか。正しい場合はそのままで結構です。","")))</f>
        <v/>
      </c>
    </row>
    <row r="96" spans="1:32" ht="20.100000000000001" customHeight="1" thickBot="1">
      <c r="A96" s="1351"/>
      <c r="B96" s="1352"/>
      <c r="C96" s="1379" t="s">
        <v>50</v>
      </c>
      <c r="D96" s="1379"/>
      <c r="E96" s="1379"/>
      <c r="F96" s="1379"/>
      <c r="G96" s="1214"/>
      <c r="H96" s="1214"/>
      <c r="I96" s="1215"/>
      <c r="J96" s="201" t="s">
        <v>18</v>
      </c>
      <c r="K96" s="1214"/>
      <c r="L96" s="1214"/>
      <c r="M96" s="1215"/>
      <c r="N96" s="201" t="s">
        <v>18</v>
      </c>
      <c r="O96" s="1214"/>
      <c r="P96" s="1214"/>
      <c r="Q96" s="1215"/>
      <c r="R96" s="201" t="s">
        <v>18</v>
      </c>
      <c r="S96" s="1214"/>
      <c r="T96" s="1214"/>
      <c r="U96" s="1215"/>
      <c r="V96" s="201" t="s">
        <v>18</v>
      </c>
      <c r="W96" s="1214"/>
      <c r="X96" s="1214"/>
      <c r="Y96" s="1215"/>
      <c r="Z96" s="201" t="s">
        <v>18</v>
      </c>
      <c r="AA96" s="1200"/>
      <c r="AB96" s="1200"/>
      <c r="AC96" s="1200"/>
      <c r="AD96" s="1200"/>
      <c r="AE96" s="1201"/>
      <c r="AF96" s="620"/>
    </row>
    <row r="97" spans="1:47" ht="20.100000000000001" customHeight="1" thickBot="1">
      <c r="A97" s="1353"/>
      <c r="B97" s="1354"/>
      <c r="C97" s="1377" t="s">
        <v>1215</v>
      </c>
      <c r="D97" s="1378"/>
      <c r="E97" s="1378"/>
      <c r="F97" s="1378"/>
      <c r="G97" s="1210">
        <f>SUM(G95:I96)</f>
        <v>0</v>
      </c>
      <c r="H97" s="1210"/>
      <c r="I97" s="1211"/>
      <c r="J97" s="202" t="s">
        <v>18</v>
      </c>
      <c r="K97" s="1210">
        <f>SUM(K95:M96)</f>
        <v>0</v>
      </c>
      <c r="L97" s="1210"/>
      <c r="M97" s="1211"/>
      <c r="N97" s="202" t="s">
        <v>18</v>
      </c>
      <c r="O97" s="1210">
        <f>SUM(O95:Q96)</f>
        <v>0</v>
      </c>
      <c r="P97" s="1210"/>
      <c r="Q97" s="1211"/>
      <c r="R97" s="202" t="s">
        <v>18</v>
      </c>
      <c r="S97" s="1210">
        <f>SUM(S95:U96)</f>
        <v>0</v>
      </c>
      <c r="T97" s="1210"/>
      <c r="U97" s="1211"/>
      <c r="V97" s="202" t="s">
        <v>18</v>
      </c>
      <c r="W97" s="1210">
        <f>SUM(W95:Y96)</f>
        <v>0</v>
      </c>
      <c r="X97" s="1210"/>
      <c r="Y97" s="1211"/>
      <c r="Z97" s="202" t="s">
        <v>18</v>
      </c>
      <c r="AA97" s="1202"/>
      <c r="AB97" s="1202"/>
      <c r="AC97" s="1202"/>
      <c r="AD97" s="1202"/>
      <c r="AE97" s="1203"/>
      <c r="AF97" s="619" t="str">
        <f>IF(OR($AG$38="本票回答不要",$AG$38="本票Ⅵのみ回答必要",$AG$38="本票Ⅰ生徒数のみ回答必要",$AG$38="本票Ⅰ生徒数・Ⅵ回答必要"),"",
IF(OR(AND($AG$53&gt;0,SUM(G95:G96)&lt;&gt;G97),
AND($AG$55&gt;0,SUM(K95:K96)&lt;&gt;K97),
AND($AG$57&gt;0,SUM(O95:O96)&lt;&gt;O97),
AND($AG$59&gt;0,SUM(S95:S96)&lt;&gt;S97),
AND(SUM($AG$61:$AG$63)&gt;0,SUM(W95:W96)&lt;&gt;W97)),
"←４年次納付金（縦）計が、明細の合計と一致しません。",""))</f>
        <v/>
      </c>
    </row>
    <row r="98" spans="1:47" ht="12" customHeight="1">
      <c r="A98" s="1404" t="s">
        <v>1252</v>
      </c>
      <c r="B98" s="1404"/>
      <c r="C98" s="1229" t="s">
        <v>1253</v>
      </c>
      <c r="D98" s="1230"/>
      <c r="E98" s="1230"/>
      <c r="F98" s="1230"/>
      <c r="G98" s="1230"/>
      <c r="H98" s="1230"/>
      <c r="I98" s="1230"/>
      <c r="J98" s="1230"/>
      <c r="K98" s="1230"/>
      <c r="L98" s="1230"/>
      <c r="M98" s="1230"/>
      <c r="N98" s="1230"/>
      <c r="O98" s="1230"/>
      <c r="P98" s="1230"/>
      <c r="Q98" s="1230"/>
      <c r="R98" s="1230"/>
      <c r="S98" s="1230"/>
      <c r="T98" s="1230"/>
      <c r="U98" s="1230"/>
      <c r="V98" s="1230"/>
      <c r="W98" s="1230"/>
      <c r="X98" s="1230"/>
      <c r="Y98" s="1230"/>
      <c r="Z98" s="1230"/>
      <c r="AA98" s="1230"/>
      <c r="AB98" s="1230"/>
      <c r="AC98" s="1230"/>
      <c r="AD98" s="1230"/>
      <c r="AE98" s="1230"/>
    </row>
    <row r="99" spans="1:47" s="5" customFormat="1" ht="4.9000000000000004" customHeight="1">
      <c r="A99" s="183"/>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c r="AD99" s="183"/>
      <c r="AE99" s="183"/>
      <c r="AF99" s="225"/>
    </row>
    <row r="100" spans="1:47" s="5" customFormat="1" ht="4.9000000000000004" customHeight="1">
      <c r="A100" s="183"/>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225"/>
    </row>
    <row r="101" spans="1:47" s="70" customFormat="1" ht="4.9000000000000004" customHeight="1">
      <c r="A101" s="183"/>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226"/>
    </row>
    <row r="102" spans="1:47" s="39" customFormat="1" ht="15" customHeight="1">
      <c r="A102" s="207" t="s">
        <v>1294</v>
      </c>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9"/>
      <c r="AB102" s="9"/>
      <c r="AC102" s="9"/>
      <c r="AD102" s="9"/>
      <c r="AE102" s="25"/>
      <c r="AF102" s="227"/>
    </row>
    <row r="103" spans="1:47" s="39" customFormat="1" ht="19.899999999999999" customHeight="1">
      <c r="A103" s="1231" t="s">
        <v>373</v>
      </c>
      <c r="B103" s="1232"/>
      <c r="C103" s="1232"/>
      <c r="D103" s="1232"/>
      <c r="E103" s="1232"/>
      <c r="F103" s="1232"/>
      <c r="G103" s="1232"/>
      <c r="H103" s="1233"/>
      <c r="I103" s="1231" t="s">
        <v>374</v>
      </c>
      <c r="J103" s="1232"/>
      <c r="K103" s="1232"/>
      <c r="L103" s="1232"/>
      <c r="M103" s="1422"/>
      <c r="N103" s="1422"/>
      <c r="O103" s="1422"/>
      <c r="P103" s="1423"/>
      <c r="Q103" s="73"/>
      <c r="R103" s="73"/>
      <c r="S103" s="73"/>
      <c r="T103" s="73"/>
      <c r="U103" s="73"/>
      <c r="V103" s="73"/>
      <c r="W103" s="73"/>
      <c r="X103" s="73"/>
      <c r="Y103" s="73"/>
      <c r="Z103" s="73"/>
      <c r="AA103" s="73"/>
      <c r="AB103" s="73"/>
      <c r="AC103" s="73"/>
      <c r="AD103" s="73"/>
      <c r="AE103" s="73"/>
      <c r="AF103" s="227"/>
    </row>
    <row r="104" spans="1:47" s="39" customFormat="1" ht="19.899999999999999" customHeight="1" thickBot="1">
      <c r="A104" s="1223" t="s">
        <v>1206</v>
      </c>
      <c r="B104" s="1226"/>
      <c r="C104" s="1226"/>
      <c r="D104" s="1437"/>
      <c r="E104" s="1223" t="s">
        <v>1207</v>
      </c>
      <c r="F104" s="1224"/>
      <c r="G104" s="1224"/>
      <c r="H104" s="1225"/>
      <c r="I104" s="1223" t="s">
        <v>1208</v>
      </c>
      <c r="J104" s="1226"/>
      <c r="K104" s="1226"/>
      <c r="L104" s="1226"/>
      <c r="M104" s="1223" t="s">
        <v>1209</v>
      </c>
      <c r="N104" s="1224"/>
      <c r="O104" s="1224"/>
      <c r="P104" s="1225"/>
      <c r="Q104" s="73"/>
      <c r="R104" s="176"/>
      <c r="S104" s="176"/>
      <c r="T104" s="176"/>
      <c r="U104" s="176"/>
      <c r="V104" s="176"/>
      <c r="W104" s="176"/>
      <c r="X104" s="176"/>
      <c r="Y104" s="176"/>
      <c r="Z104" s="176"/>
      <c r="AA104" s="176"/>
      <c r="AB104" s="176"/>
      <c r="AC104" s="176"/>
      <c r="AD104" s="176"/>
      <c r="AE104" s="176"/>
      <c r="AF104" s="227"/>
    </row>
    <row r="105" spans="1:47" s="38" customFormat="1" ht="30" customHeight="1" thickBot="1">
      <c r="A105" s="1369"/>
      <c r="B105" s="1228"/>
      <c r="C105" s="1228"/>
      <c r="D105" s="74" t="s">
        <v>375</v>
      </c>
      <c r="E105" s="1227"/>
      <c r="F105" s="1228"/>
      <c r="G105" s="1228"/>
      <c r="H105" s="74" t="s">
        <v>375</v>
      </c>
      <c r="I105" s="1369"/>
      <c r="J105" s="1228"/>
      <c r="K105" s="1228"/>
      <c r="L105" s="74" t="s">
        <v>375</v>
      </c>
      <c r="M105" s="1227"/>
      <c r="N105" s="1228"/>
      <c r="O105" s="1228"/>
      <c r="P105" s="177" t="s">
        <v>375</v>
      </c>
      <c r="Q105" s="73"/>
      <c r="R105" s="73"/>
      <c r="S105" s="73"/>
      <c r="T105" s="73"/>
      <c r="U105" s="73"/>
      <c r="V105" s="73"/>
      <c r="W105" s="73"/>
      <c r="X105" s="73"/>
      <c r="Y105" s="73"/>
      <c r="Z105" s="73"/>
      <c r="AA105" s="73"/>
      <c r="AB105" s="73"/>
      <c r="AC105" s="73"/>
      <c r="AD105" s="73"/>
      <c r="AE105" s="73"/>
      <c r="AF105" s="239" t="str">
        <f>IF(OR($AG$38="本票回答不要",$AG$38="本票Ⅵのみ回答必要",$AG$38="本票Ⅰ生徒数のみ回答必要",$AG$38="本票Ⅰ生徒数・Ⅵ回答必要"),"",
IF(A105="","←本務教員数を記入してください。",IF(E105="","←非常勤教員数を記入してください。（不在の場合は「0」を入力してください。）",IF(I105="","←本務職員数を記入してください。（不在の場合は「0」を入力してください。）",IF(M105="","←兼務職員数を記入してください。（不在の場合は「0」を入力してください。）","")))))</f>
        <v>←本務教員数を記入してください。</v>
      </c>
      <c r="AG105" s="39"/>
      <c r="AH105" s="39"/>
      <c r="AI105" s="39"/>
      <c r="AJ105" s="39"/>
      <c r="AK105" s="39"/>
      <c r="AL105" s="39"/>
      <c r="AM105" s="39"/>
      <c r="AN105" s="39"/>
      <c r="AO105" s="39"/>
      <c r="AP105" s="39"/>
      <c r="AQ105" s="39"/>
      <c r="AR105" s="39"/>
      <c r="AS105" s="39"/>
      <c r="AT105" s="39"/>
      <c r="AU105" s="39"/>
    </row>
    <row r="106" spans="1:47" s="152" customFormat="1" ht="4.9000000000000004" customHeight="1">
      <c r="A106" s="184"/>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228"/>
    </row>
    <row r="107" spans="1:47" s="38" customFormat="1" ht="4.9000000000000004" customHeight="1">
      <c r="A107" s="184"/>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227"/>
      <c r="AG107" s="39"/>
      <c r="AH107" s="39"/>
      <c r="AI107" s="39"/>
      <c r="AJ107" s="39"/>
      <c r="AK107" s="39"/>
      <c r="AL107" s="39"/>
      <c r="AM107" s="39"/>
      <c r="AN107" s="39"/>
      <c r="AO107" s="39"/>
      <c r="AP107" s="39"/>
      <c r="AQ107" s="39"/>
      <c r="AR107" s="39"/>
      <c r="AS107" s="39"/>
      <c r="AT107" s="39"/>
      <c r="AU107" s="39"/>
    </row>
    <row r="108" spans="1:47" ht="4.9000000000000004" customHeight="1">
      <c r="A108" s="26"/>
      <c r="B108" s="27"/>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row>
    <row r="109" spans="1:47" ht="15" customHeight="1" thickBot="1">
      <c r="A109" s="208" t="s">
        <v>1295</v>
      </c>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9"/>
      <c r="X109" s="9"/>
      <c r="Y109" s="9"/>
      <c r="Z109" s="9"/>
      <c r="AA109" s="181"/>
      <c r="AB109" s="37"/>
      <c r="AC109" s="37"/>
      <c r="AD109" s="37"/>
      <c r="AE109" s="37"/>
    </row>
    <row r="110" spans="1:47" ht="7.9" customHeight="1">
      <c r="A110" s="952" t="s">
        <v>16</v>
      </c>
      <c r="B110" s="953"/>
      <c r="C110" s="953"/>
      <c r="D110" s="953"/>
      <c r="E110" s="953"/>
      <c r="F110" s="953"/>
      <c r="G110" s="953"/>
      <c r="H110" s="954"/>
      <c r="I110" s="1177" t="s">
        <v>1210</v>
      </c>
      <c r="J110" s="953"/>
      <c r="K110" s="953"/>
      <c r="L110" s="953"/>
      <c r="M110" s="953"/>
      <c r="N110" s="953"/>
      <c r="O110" s="953"/>
      <c r="P110" s="954"/>
      <c r="Q110" s="1177" t="s">
        <v>1211</v>
      </c>
      <c r="R110" s="953"/>
      <c r="S110" s="953"/>
      <c r="T110" s="953"/>
      <c r="U110" s="953"/>
      <c r="V110" s="953"/>
      <c r="W110" s="953"/>
      <c r="X110" s="1180"/>
      <c r="Y110" s="1430" t="s">
        <v>1283</v>
      </c>
      <c r="Z110" s="1430"/>
      <c r="AA110" s="1430"/>
      <c r="AB110" s="1430"/>
      <c r="AC110" s="10"/>
      <c r="AD110" s="10"/>
      <c r="AE110" s="10"/>
      <c r="AF110" s="240"/>
    </row>
    <row r="111" spans="1:47" ht="7.9" customHeight="1">
      <c r="A111" s="955"/>
      <c r="B111" s="956"/>
      <c r="C111" s="956"/>
      <c r="D111" s="956"/>
      <c r="E111" s="956"/>
      <c r="F111" s="956"/>
      <c r="G111" s="956"/>
      <c r="H111" s="957"/>
      <c r="I111" s="1427"/>
      <c r="J111" s="956"/>
      <c r="K111" s="956"/>
      <c r="L111" s="956"/>
      <c r="M111" s="956"/>
      <c r="N111" s="956"/>
      <c r="O111" s="956"/>
      <c r="P111" s="957"/>
      <c r="Q111" s="1427"/>
      <c r="R111" s="956"/>
      <c r="S111" s="956"/>
      <c r="T111" s="956"/>
      <c r="U111" s="956"/>
      <c r="V111" s="956"/>
      <c r="W111" s="956"/>
      <c r="X111" s="1384"/>
      <c r="Y111" s="1430"/>
      <c r="Z111" s="1430"/>
      <c r="AA111" s="1430"/>
      <c r="AB111" s="1430"/>
      <c r="AC111" s="10"/>
      <c r="AD111" s="10"/>
      <c r="AE111" s="10"/>
      <c r="AF111" s="240"/>
    </row>
    <row r="112" spans="1:47" ht="7.9" customHeight="1" thickBot="1">
      <c r="A112" s="1424"/>
      <c r="B112" s="1425"/>
      <c r="C112" s="1425"/>
      <c r="D112" s="1425"/>
      <c r="E112" s="1425"/>
      <c r="F112" s="1425"/>
      <c r="G112" s="1425"/>
      <c r="H112" s="1426"/>
      <c r="I112" s="1428"/>
      <c r="J112" s="1425"/>
      <c r="K112" s="1425"/>
      <c r="L112" s="1425"/>
      <c r="M112" s="1425"/>
      <c r="N112" s="1425"/>
      <c r="O112" s="1425"/>
      <c r="P112" s="1426"/>
      <c r="Q112" s="1428"/>
      <c r="R112" s="1425"/>
      <c r="S112" s="1425"/>
      <c r="T112" s="1425"/>
      <c r="U112" s="1425"/>
      <c r="V112" s="1425"/>
      <c r="W112" s="1425"/>
      <c r="X112" s="1429"/>
      <c r="Y112" s="1430"/>
      <c r="Z112" s="1430"/>
      <c r="AA112" s="1430"/>
      <c r="AB112" s="1430"/>
      <c r="AC112" s="10"/>
      <c r="AD112" s="10"/>
      <c r="AE112" s="10"/>
      <c r="AF112" s="240"/>
    </row>
    <row r="113" spans="1:32" ht="30" customHeight="1">
      <c r="A113" s="1431" t="s">
        <v>1212</v>
      </c>
      <c r="B113" s="1432"/>
      <c r="C113" s="1432"/>
      <c r="D113" s="1432"/>
      <c r="E113" s="1432"/>
      <c r="F113" s="1432"/>
      <c r="G113" s="1432"/>
      <c r="H113" s="1433"/>
      <c r="I113" s="1434"/>
      <c r="J113" s="1435"/>
      <c r="K113" s="1435"/>
      <c r="L113" s="1435"/>
      <c r="M113" s="1435"/>
      <c r="N113" s="1435"/>
      <c r="O113" s="1185" t="s">
        <v>1213</v>
      </c>
      <c r="P113" s="1186"/>
      <c r="Q113" s="1434"/>
      <c r="R113" s="1435"/>
      <c r="S113" s="1435"/>
      <c r="T113" s="1435"/>
      <c r="U113" s="1435"/>
      <c r="V113" s="1435"/>
      <c r="W113" s="1185" t="s">
        <v>1213</v>
      </c>
      <c r="X113" s="1436"/>
      <c r="Y113" s="10"/>
      <c r="Z113" s="10"/>
      <c r="AA113" s="10"/>
      <c r="AB113" s="10"/>
      <c r="AC113" s="10"/>
      <c r="AD113" s="10"/>
      <c r="AE113" s="10"/>
      <c r="AF113" s="621" t="str">
        <f>IF(OR($AG$38="本票回答不要",$AG$38="本票Ⅵのみ回答必要",$AG$38="本票Ⅰ生徒数のみ回答必要",$AG$38="本票Ⅰ生徒数・Ⅵ回答必要"),"",
IF(I113="","←本務教員の本俸が未入力です。該当値がない場合には「0」を入力してください。",IF(Q113="","←本務職員の本俸が未入力です。該当値がない場合には「0」を入力してください。","")))</f>
        <v>←本務教員の本俸が未入力です。該当値がない場合には「0」を入力してください。</v>
      </c>
    </row>
    <row r="114" spans="1:32" ht="30" customHeight="1">
      <c r="A114" s="1370" t="s">
        <v>1214</v>
      </c>
      <c r="B114" s="1371"/>
      <c r="C114" s="1371"/>
      <c r="D114" s="1371"/>
      <c r="E114" s="1371"/>
      <c r="F114" s="1371"/>
      <c r="G114" s="1371"/>
      <c r="H114" s="1372"/>
      <c r="I114" s="1373"/>
      <c r="J114" s="1374"/>
      <c r="K114" s="1374"/>
      <c r="L114" s="1374"/>
      <c r="M114" s="1374"/>
      <c r="N114" s="1374"/>
      <c r="O114" s="1004" t="s">
        <v>1213</v>
      </c>
      <c r="P114" s="1375"/>
      <c r="Q114" s="1373"/>
      <c r="R114" s="1374"/>
      <c r="S114" s="1374"/>
      <c r="T114" s="1374"/>
      <c r="U114" s="1374"/>
      <c r="V114" s="1374"/>
      <c r="W114" s="1004" t="s">
        <v>1213</v>
      </c>
      <c r="X114" s="1405"/>
      <c r="Y114" s="10"/>
      <c r="Z114" s="10"/>
      <c r="AA114" s="10"/>
      <c r="AB114" s="10"/>
      <c r="AC114" s="10"/>
      <c r="AD114" s="10"/>
      <c r="AE114" s="10"/>
      <c r="AF114" s="621" t="str">
        <f>IF(OR($AG$38="本票回答不要",$AG$38="本票Ⅵのみ回答必要",$AG$38="本票Ⅰ生徒数のみ回答必要",$AG$38="本票Ⅰ生徒数・Ⅵ回答必要"),"",
IF(I114="","←本務教員の期末手当が未入力です。該当値がない場合には「0」を入力してください。",IF(Q114="","←本務職員の期末手当が未入力です。該当値がない場合には「0」を入力してください。","")))</f>
        <v>←本務教員の期末手当が未入力です。該当値がない場合には「0」を入力してください。</v>
      </c>
    </row>
    <row r="115" spans="1:32" ht="30" customHeight="1">
      <c r="A115" s="1370" t="s">
        <v>1244</v>
      </c>
      <c r="B115" s="1371"/>
      <c r="C115" s="1371"/>
      <c r="D115" s="1371"/>
      <c r="E115" s="1371"/>
      <c r="F115" s="1371"/>
      <c r="G115" s="1371"/>
      <c r="H115" s="1372"/>
      <c r="I115" s="1373"/>
      <c r="J115" s="1374"/>
      <c r="K115" s="1374"/>
      <c r="L115" s="1374"/>
      <c r="M115" s="1374"/>
      <c r="N115" s="1374"/>
      <c r="O115" s="1004" t="s">
        <v>1213</v>
      </c>
      <c r="P115" s="1375"/>
      <c r="Q115" s="1373"/>
      <c r="R115" s="1374"/>
      <c r="S115" s="1374"/>
      <c r="T115" s="1374"/>
      <c r="U115" s="1374"/>
      <c r="V115" s="1374"/>
      <c r="W115" s="1004" t="s">
        <v>1213</v>
      </c>
      <c r="X115" s="1405"/>
      <c r="Y115" s="10"/>
      <c r="Z115" s="10"/>
      <c r="AA115" s="10"/>
      <c r="AB115" s="10"/>
      <c r="AC115" s="10"/>
      <c r="AD115" s="10"/>
      <c r="AE115" s="10"/>
      <c r="AF115" s="621" t="str">
        <f>IF(OR($AG$38="本票回答不要",$AG$38="本票Ⅵのみ回答必要",$AG$38="本票Ⅰ生徒数のみ回答必要",$AG$38="本票Ⅰ生徒数・Ⅵ回答必要"),"",
IF(I115="","←本務教員のその他手当が未入力です。該当値がない場合には「0」を入力してください。",IF(Q115="","←本務職員のその他手当が未入力です。該当値がない場合には「0」を入力してください。","")))</f>
        <v>←本務教員のその他手当が未入力です。該当値がない場合には「0」を入力してください。</v>
      </c>
    </row>
    <row r="116" spans="1:32" ht="30" customHeight="1">
      <c r="A116" s="1370" t="s">
        <v>1245</v>
      </c>
      <c r="B116" s="1371"/>
      <c r="C116" s="1371"/>
      <c r="D116" s="1371"/>
      <c r="E116" s="1371"/>
      <c r="F116" s="1371"/>
      <c r="G116" s="1371"/>
      <c r="H116" s="1372"/>
      <c r="I116" s="1373"/>
      <c r="J116" s="1374"/>
      <c r="K116" s="1374"/>
      <c r="L116" s="1374"/>
      <c r="M116" s="1374"/>
      <c r="N116" s="1374"/>
      <c r="O116" s="1004" t="s">
        <v>1213</v>
      </c>
      <c r="P116" s="1375"/>
      <c r="Q116" s="1373"/>
      <c r="R116" s="1374"/>
      <c r="S116" s="1374"/>
      <c r="T116" s="1374"/>
      <c r="U116" s="1374"/>
      <c r="V116" s="1374"/>
      <c r="W116" s="1004" t="s">
        <v>1213</v>
      </c>
      <c r="X116" s="1405"/>
      <c r="Y116" s="10"/>
      <c r="Z116" s="10"/>
      <c r="AA116" s="10"/>
      <c r="AB116" s="10"/>
      <c r="AC116" s="10"/>
      <c r="AD116" s="10"/>
      <c r="AE116" s="10"/>
      <c r="AF116" s="621" t="str">
        <f>IF(OR($AG$38="本票回答不要",$AG$38="本票Ⅵのみ回答必要",$AG$38="本票Ⅰ生徒数のみ回答必要",$AG$38="本票Ⅰ生徒数・Ⅵ回答必要"),"",
IF(I116="","←本務教員の所定福利費が未入力です。該当値がない場合には「0」を入力してください。",IF(Q116="","←本務職員の所定福利費が未入力です。該当値がない場合には「0」を入力してください。,","")))</f>
        <v>←本務教員の所定福利費が未入力です。該当値がない場合には「0」を入力してください。</v>
      </c>
    </row>
    <row r="117" spans="1:32" ht="30" customHeight="1" thickBot="1">
      <c r="A117" s="1406" t="s">
        <v>1284</v>
      </c>
      <c r="B117" s="1407"/>
      <c r="C117" s="1407"/>
      <c r="D117" s="1407"/>
      <c r="E117" s="1407"/>
      <c r="F117" s="1407"/>
      <c r="G117" s="1407"/>
      <c r="H117" s="1408"/>
      <c r="I117" s="1409"/>
      <c r="J117" s="1410"/>
      <c r="K117" s="1410"/>
      <c r="L117" s="1410"/>
      <c r="M117" s="1410"/>
      <c r="N117" s="1410"/>
      <c r="O117" s="1411" t="s">
        <v>1213</v>
      </c>
      <c r="P117" s="1412"/>
      <c r="Q117" s="1409"/>
      <c r="R117" s="1410"/>
      <c r="S117" s="1410"/>
      <c r="T117" s="1410"/>
      <c r="U117" s="1410"/>
      <c r="V117" s="1410"/>
      <c r="W117" s="1411" t="s">
        <v>1213</v>
      </c>
      <c r="X117" s="1413"/>
      <c r="Y117" s="10"/>
      <c r="Z117" s="10"/>
      <c r="AA117" s="10"/>
      <c r="AB117" s="220"/>
      <c r="AC117" s="10"/>
      <c r="AD117" s="10"/>
      <c r="AE117" s="10"/>
      <c r="AF117" s="621" t="str">
        <f>IF(OR($AG$38="本票回答不要",$AG$38="本票Ⅵのみ回答必要",$AG$38="本票Ⅰ生徒数のみ回答必要",$AG$38="本票Ⅰ生徒数・Ⅵ回答必要"),"",
IF(I117="","←本務教員の退職金団体等負担金が未入力です。該当値がない場合には「0」を入力してください。",IF(Q117="","←本務職員の退職金団体等負担金が未入力です。該当値がない場合には「0」を入力してください。","")))</f>
        <v>←本務教員の退職金団体等負担金が未入力です。該当値がない場合には「0」を入力してください。</v>
      </c>
    </row>
    <row r="118" spans="1:32" ht="30" customHeight="1" thickBot="1">
      <c r="A118" s="1414" t="s">
        <v>1215</v>
      </c>
      <c r="B118" s="1415"/>
      <c r="C118" s="1415"/>
      <c r="D118" s="1415"/>
      <c r="E118" s="1415"/>
      <c r="F118" s="1415"/>
      <c r="G118" s="1415"/>
      <c r="H118" s="1416"/>
      <c r="I118" s="1417">
        <f>SUM(I113:N117)</f>
        <v>0</v>
      </c>
      <c r="J118" s="1418"/>
      <c r="K118" s="1418"/>
      <c r="L118" s="1418"/>
      <c r="M118" s="1418"/>
      <c r="N118" s="1418"/>
      <c r="O118" s="1058" t="s">
        <v>1213</v>
      </c>
      <c r="P118" s="1419"/>
      <c r="Q118" s="1417">
        <f>SUM(Q113:V117)</f>
        <v>0</v>
      </c>
      <c r="R118" s="1418"/>
      <c r="S118" s="1418"/>
      <c r="T118" s="1418"/>
      <c r="U118" s="1418"/>
      <c r="V118" s="1418"/>
      <c r="W118" s="1058" t="s">
        <v>1213</v>
      </c>
      <c r="X118" s="1420"/>
      <c r="Y118" s="10"/>
      <c r="Z118" s="10"/>
      <c r="AA118" s="10"/>
      <c r="AB118" s="10"/>
      <c r="AC118" s="10"/>
      <c r="AD118" s="10"/>
      <c r="AE118" s="10"/>
      <c r="AF118" s="621" t="str">
        <f>IF(OR($AG$38="本票回答不要",$AG$38="本票Ⅵのみ回答必要",$AG$38="本票Ⅰ生徒数のみ回答必要",$AG$38="本票Ⅰ生徒数・Ⅵ回答必要"),"",
IF(SUM(I113:I117)&lt;&gt;I118,"←本務教員人件費支出計が、明細の合計と一致しません。",IF(SUM(Q113:Q117)&lt;&gt;Q118,"←本務職員人件費支出計が、明細の合計と一致しません。","")))</f>
        <v/>
      </c>
    </row>
    <row r="119" spans="1:32" s="4" customFormat="1" ht="4.5" customHeight="1">
      <c r="A119" s="30"/>
      <c r="B119" s="218"/>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c r="AA119" s="219"/>
      <c r="AB119" s="219"/>
      <c r="AC119" s="219"/>
      <c r="AD119" s="219"/>
      <c r="AE119" s="219"/>
      <c r="AF119" s="609"/>
    </row>
    <row r="120" spans="1:32" s="4" customFormat="1" ht="19.899999999999999" customHeight="1">
      <c r="A120" s="1439" t="s">
        <v>1285</v>
      </c>
      <c r="B120" s="1440"/>
      <c r="C120" s="1440"/>
      <c r="D120" s="1440"/>
      <c r="E120" s="1440"/>
      <c r="F120" s="1440"/>
      <c r="G120" s="1440"/>
      <c r="H120" s="1440"/>
      <c r="I120" s="1441" t="str">
        <f>IF(AND(A105&gt;0,I118&gt;0),I118/A105,"")</f>
        <v/>
      </c>
      <c r="J120" s="1441"/>
      <c r="K120" s="1441"/>
      <c r="L120" s="1441"/>
      <c r="M120" s="1441"/>
      <c r="N120" s="1442"/>
      <c r="O120" s="1443" t="s">
        <v>1213</v>
      </c>
      <c r="P120" s="1444"/>
      <c r="Q120" s="1442" t="str">
        <f>IF(AND(I105&gt;0,Q118&gt;0),Q118/I105,"")</f>
        <v/>
      </c>
      <c r="R120" s="1445"/>
      <c r="S120" s="1445"/>
      <c r="T120" s="1445"/>
      <c r="U120" s="1445"/>
      <c r="V120" s="1445"/>
      <c r="W120" s="1443" t="s">
        <v>1213</v>
      </c>
      <c r="X120" s="1444"/>
      <c r="Y120" s="219"/>
      <c r="Z120" s="219"/>
      <c r="AA120" s="219"/>
      <c r="AB120" s="219"/>
      <c r="AC120" s="219"/>
      <c r="AD120" s="219"/>
      <c r="AE120" s="219"/>
      <c r="AF120" s="609" t="str">
        <f>IF(OR($AG$38="本票回答不要",$AG$38="本票Ⅵのみ回答必要",$AG$38="本票Ⅰ生徒数のみ回答必要",$AG$38="本票Ⅰ生徒数・Ⅵ回答必要"),"",
IF(AND(I120&lt;&gt;"",I120&gt;=20000000),"←教員一人当たり人件費が2000万円以上です。問題なければ構いません。",
IF(AND(I120&lt;&gt;"",I120&lt;2000000),"←教員一人当たり人件費が200万円未満です。問題なければ構いません。","")))</f>
        <v/>
      </c>
    </row>
    <row r="121" spans="1:32" s="4" customFormat="1" ht="33.75" customHeight="1">
      <c r="A121" s="1446" t="s">
        <v>1286</v>
      </c>
      <c r="B121" s="1447"/>
      <c r="C121" s="1447"/>
      <c r="D121" s="1447"/>
      <c r="E121" s="1447"/>
      <c r="F121" s="1447"/>
      <c r="G121" s="1447"/>
      <c r="H121" s="1447"/>
      <c r="I121" s="1447"/>
      <c r="J121" s="1447"/>
      <c r="K121" s="1447"/>
      <c r="L121" s="1447"/>
      <c r="M121" s="1447"/>
      <c r="N121" s="1447"/>
      <c r="O121" s="1447"/>
      <c r="P121" s="1447"/>
      <c r="Q121" s="1447"/>
      <c r="R121" s="1447"/>
      <c r="S121" s="1447"/>
      <c r="T121" s="1447"/>
      <c r="U121" s="1447"/>
      <c r="V121" s="1447"/>
      <c r="W121" s="1447"/>
      <c r="X121" s="1447"/>
      <c r="Y121" s="1447"/>
      <c r="Z121" s="1447"/>
      <c r="AA121" s="1447"/>
      <c r="AB121" s="1447"/>
      <c r="AC121" s="1447"/>
      <c r="AD121" s="1447"/>
      <c r="AE121" s="1447"/>
      <c r="AF121" s="239" t="str">
        <f>IF(OR($AG$38="本票回答不要",$AG$38="本票Ⅵのみ回答必要",$AG$38="本票Ⅰ生徒数のみ回答必要",$AG$38="本票Ⅰ生徒数・Ⅵ回答必要"),"",
IF(AND(Q120&lt;&gt;"",Q120&gt;=20000000),"←職員一人当たり人件費が2000万円以上です。問題なければ構いません。",
IF(AND(Q120&lt;&gt;"",Q120&lt;2000000),"←職員一人当たり人件費が200万円未満です。問題なければ構いません。","")))</f>
        <v/>
      </c>
    </row>
    <row r="122" spans="1:32" s="4" customFormat="1" ht="4.5" customHeight="1">
      <c r="A122" s="178"/>
      <c r="B122" s="178"/>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224"/>
    </row>
    <row r="123" spans="1:32" s="4" customFormat="1" ht="4.5" customHeight="1">
      <c r="A123" s="178"/>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224"/>
    </row>
    <row r="124" spans="1:32" s="4" customFormat="1" ht="16.5" customHeight="1">
      <c r="A124" s="207" t="s">
        <v>1296</v>
      </c>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78"/>
      <c r="AB124" s="178"/>
      <c r="AC124" s="178"/>
      <c r="AD124" s="178"/>
      <c r="AE124" s="178"/>
      <c r="AF124" s="224"/>
    </row>
    <row r="125" spans="1:32" s="39" customFormat="1" ht="20.100000000000001" customHeight="1" thickBot="1">
      <c r="A125" s="1421" t="s">
        <v>1297</v>
      </c>
      <c r="B125" s="1421"/>
      <c r="C125" s="1421"/>
      <c r="D125" s="1421"/>
      <c r="E125" s="1421"/>
      <c r="F125" s="1421"/>
      <c r="G125" s="1421"/>
      <c r="H125" s="1421"/>
      <c r="I125" s="1421"/>
      <c r="J125" s="1421"/>
      <c r="K125" s="1421"/>
      <c r="L125" s="1421"/>
      <c r="M125" s="1421"/>
      <c r="N125" s="1421"/>
      <c r="O125" s="1421"/>
      <c r="P125" s="1421"/>
      <c r="Q125" s="1421"/>
      <c r="R125" s="1421"/>
      <c r="S125" s="1421"/>
      <c r="T125" s="1421"/>
      <c r="U125" s="1421"/>
      <c r="V125" s="1421"/>
      <c r="W125" s="1421"/>
      <c r="X125" s="1421"/>
      <c r="Y125" s="1421"/>
      <c r="Z125" s="1421"/>
      <c r="AA125" s="37"/>
      <c r="AB125" s="37"/>
      <c r="AC125" s="50" t="s">
        <v>1258</v>
      </c>
      <c r="AD125" s="37"/>
      <c r="AE125" s="9"/>
      <c r="AF125" s="227"/>
    </row>
    <row r="126" spans="1:32" s="39" customFormat="1" ht="18" customHeight="1">
      <c r="A126" s="1246" t="s">
        <v>22</v>
      </c>
      <c r="B126" s="1247"/>
      <c r="C126" s="1250" t="s">
        <v>23</v>
      </c>
      <c r="D126" s="1251"/>
      <c r="E126" s="1256" t="s">
        <v>24</v>
      </c>
      <c r="F126" s="1257"/>
      <c r="G126" s="1257"/>
      <c r="H126" s="1257"/>
      <c r="I126" s="1257"/>
      <c r="J126" s="1257"/>
      <c r="K126" s="1257"/>
      <c r="L126" s="1257"/>
      <c r="M126" s="1257"/>
      <c r="N126" s="1257"/>
      <c r="O126" s="1257"/>
      <c r="P126" s="1257"/>
      <c r="Q126" s="1258"/>
      <c r="R126" s="1259"/>
      <c r="S126" s="1260"/>
      <c r="T126" s="1260"/>
      <c r="U126" s="1260"/>
      <c r="V126" s="1260"/>
      <c r="W126" s="1260"/>
      <c r="X126" s="1260"/>
      <c r="Y126" s="1260"/>
      <c r="Z126" s="1260"/>
      <c r="AA126" s="1260"/>
      <c r="AB126" s="75" t="s">
        <v>1249</v>
      </c>
      <c r="AC126" s="76"/>
      <c r="AD126" s="28"/>
      <c r="AE126" s="9"/>
      <c r="AF126" s="601" t="str">
        <f>IF(OR($AG$38="本票回答不要",$AG$38="本票Ⅰ生徒数のみ回答必要"),"",
IF(R126="","←未記入です。（0円の場合は「0」を入力してください。",IF(R126&lt;8000000,"←800万円未満のため桁数を確認してください。（正しい場合は構いません。）","")))</f>
        <v>←未記入です。（0円の場合は「0」を入力してください。</v>
      </c>
    </row>
    <row r="127" spans="1:32" s="39" customFormat="1" ht="18" customHeight="1">
      <c r="A127" s="1248"/>
      <c r="B127" s="1249"/>
      <c r="C127" s="1252"/>
      <c r="D127" s="1253"/>
      <c r="E127" s="1220" t="s">
        <v>25</v>
      </c>
      <c r="F127" s="1221"/>
      <c r="G127" s="1221"/>
      <c r="H127" s="1221"/>
      <c r="I127" s="1221"/>
      <c r="J127" s="1221"/>
      <c r="K127" s="1221"/>
      <c r="L127" s="1221"/>
      <c r="M127" s="1221"/>
      <c r="N127" s="1221"/>
      <c r="O127" s="1221"/>
      <c r="P127" s="1221"/>
      <c r="Q127" s="1222"/>
      <c r="R127" s="1238"/>
      <c r="S127" s="1239"/>
      <c r="T127" s="1239"/>
      <c r="U127" s="1239"/>
      <c r="V127" s="1239"/>
      <c r="W127" s="1239"/>
      <c r="X127" s="1239"/>
      <c r="Y127" s="1239"/>
      <c r="Z127" s="1239"/>
      <c r="AA127" s="1239"/>
      <c r="AB127" s="77" t="s">
        <v>1249</v>
      </c>
      <c r="AC127" s="78"/>
      <c r="AD127" s="41"/>
      <c r="AE127" s="9"/>
      <c r="AF127" s="601" t="str">
        <f>IF(OR($AG$38="本票回答不要",$AG$38="本票Ⅰ生徒数のみ回答必要"),"",
IF(R127="","←未記入です。（0円の場合は「0」を入力してください。",""))</f>
        <v>←未記入です。（0円の場合は「0」を入力してください。</v>
      </c>
    </row>
    <row r="128" spans="1:32" s="39" customFormat="1" ht="18" customHeight="1">
      <c r="A128" s="1248"/>
      <c r="B128" s="1249"/>
      <c r="C128" s="1252"/>
      <c r="D128" s="1253"/>
      <c r="E128" s="1220" t="s">
        <v>26</v>
      </c>
      <c r="F128" s="1221"/>
      <c r="G128" s="1221"/>
      <c r="H128" s="1221"/>
      <c r="I128" s="1221"/>
      <c r="J128" s="1221"/>
      <c r="K128" s="1221"/>
      <c r="L128" s="1221"/>
      <c r="M128" s="1221"/>
      <c r="N128" s="1221"/>
      <c r="O128" s="1221"/>
      <c r="P128" s="1221"/>
      <c r="Q128" s="1222"/>
      <c r="R128" s="1238"/>
      <c r="S128" s="1239"/>
      <c r="T128" s="1239"/>
      <c r="U128" s="1239"/>
      <c r="V128" s="1239"/>
      <c r="W128" s="1239"/>
      <c r="X128" s="1239"/>
      <c r="Y128" s="1239"/>
      <c r="Z128" s="1239"/>
      <c r="AA128" s="1239"/>
      <c r="AB128" s="77" t="s">
        <v>1249</v>
      </c>
      <c r="AC128" s="78"/>
      <c r="AD128" s="28"/>
      <c r="AE128" s="9"/>
      <c r="AF128" s="601" t="str">
        <f>IF(OR($AG$38="本票回答不要",$AG$38="本票Ⅰ生徒数のみ回答必要"),"",
IF(R128="","←未記入です。（0円の場合は「0」を入力してください。",""))</f>
        <v>←未記入です。（0円の場合は「0」を入力してください。</v>
      </c>
    </row>
    <row r="129" spans="1:38" s="39" customFormat="1" ht="18" customHeight="1">
      <c r="A129" s="1248"/>
      <c r="B129" s="1249"/>
      <c r="C129" s="1252"/>
      <c r="D129" s="1253"/>
      <c r="E129" s="1220" t="s">
        <v>27</v>
      </c>
      <c r="F129" s="1221"/>
      <c r="G129" s="1221"/>
      <c r="H129" s="1221"/>
      <c r="I129" s="1221"/>
      <c r="J129" s="1221"/>
      <c r="K129" s="1221"/>
      <c r="L129" s="1221"/>
      <c r="M129" s="1221"/>
      <c r="N129" s="1221"/>
      <c r="O129" s="1221"/>
      <c r="P129" s="1221"/>
      <c r="Q129" s="1222"/>
      <c r="R129" s="1238"/>
      <c r="S129" s="1239"/>
      <c r="T129" s="1239"/>
      <c r="U129" s="1239"/>
      <c r="V129" s="1239"/>
      <c r="W129" s="1239"/>
      <c r="X129" s="1239"/>
      <c r="Y129" s="1239"/>
      <c r="Z129" s="1239"/>
      <c r="AA129" s="1239"/>
      <c r="AB129" s="77" t="s">
        <v>1249</v>
      </c>
      <c r="AC129" s="78"/>
      <c r="AD129" s="41"/>
      <c r="AE129" s="9"/>
      <c r="AF129" s="601" t="str">
        <f>IF(OR($AG$38="本票回答不要",$AG$38="本票Ⅰ生徒数のみ回答必要"),"",
IF(R129="","←未記入です。（0円の場合は「0」を入力してください。",""))</f>
        <v>←未記入です。（0円の場合は「0」を入力してください。</v>
      </c>
    </row>
    <row r="130" spans="1:38" s="39" customFormat="1" ht="18" customHeight="1">
      <c r="A130" s="1248"/>
      <c r="B130" s="1249"/>
      <c r="C130" s="1252"/>
      <c r="D130" s="1253"/>
      <c r="E130" s="1220" t="s">
        <v>376</v>
      </c>
      <c r="F130" s="1221"/>
      <c r="G130" s="1221"/>
      <c r="H130" s="1221"/>
      <c r="I130" s="1221"/>
      <c r="J130" s="1221"/>
      <c r="K130" s="1221"/>
      <c r="L130" s="1221"/>
      <c r="M130" s="1221"/>
      <c r="N130" s="1221"/>
      <c r="O130" s="1221"/>
      <c r="P130" s="1221"/>
      <c r="Q130" s="1222"/>
      <c r="R130" s="1238"/>
      <c r="S130" s="1239"/>
      <c r="T130" s="1239"/>
      <c r="U130" s="1239"/>
      <c r="V130" s="1239"/>
      <c r="W130" s="1239"/>
      <c r="X130" s="1239"/>
      <c r="Y130" s="1239"/>
      <c r="Z130" s="1239"/>
      <c r="AA130" s="1239"/>
      <c r="AB130" s="77" t="s">
        <v>1249</v>
      </c>
      <c r="AC130" s="78"/>
      <c r="AD130" s="28"/>
      <c r="AE130" s="9"/>
      <c r="AF130" s="601" t="str">
        <f>IF(OR($AG$38="本票回答不要",$AG$38="本票Ⅰ生徒数のみ回答必要"),"",
IF(R130="","←未記入です。（0円の場合は「0」を入力してください。",""))</f>
        <v>←未記入です。（0円の場合は「0」を入力してください。</v>
      </c>
    </row>
    <row r="131" spans="1:38" s="39" customFormat="1" ht="18" customHeight="1">
      <c r="A131" s="1248"/>
      <c r="B131" s="1249"/>
      <c r="C131" s="1252"/>
      <c r="D131" s="1253"/>
      <c r="E131" s="1313" t="s">
        <v>28</v>
      </c>
      <c r="F131" s="1314"/>
      <c r="G131" s="1314"/>
      <c r="H131" s="1314"/>
      <c r="I131" s="1314"/>
      <c r="J131" s="1314"/>
      <c r="K131" s="1314"/>
      <c r="L131" s="1314"/>
      <c r="M131" s="1314"/>
      <c r="N131" s="1314"/>
      <c r="O131" s="1314"/>
      <c r="P131" s="1314"/>
      <c r="Q131" s="1315"/>
      <c r="R131" s="1261"/>
      <c r="S131" s="1262"/>
      <c r="T131" s="1262"/>
      <c r="U131" s="1262"/>
      <c r="V131" s="1262"/>
      <c r="W131" s="1262"/>
      <c r="X131" s="1262"/>
      <c r="Y131" s="1262"/>
      <c r="Z131" s="1262"/>
      <c r="AA131" s="1262"/>
      <c r="AB131" s="79" t="s">
        <v>1249</v>
      </c>
      <c r="AC131" s="80"/>
      <c r="AD131" s="28"/>
      <c r="AE131" s="9"/>
      <c r="AF131" s="601" t="str">
        <f>IF(OR($AG$38="本票回答不要",$AG$38="本票Ⅰ生徒数のみ回答必要"),"",
IF(R131="","←未記入です。（0円の場合は「0」を入力してください。",""))</f>
        <v>←未記入です。（0円の場合は「0」を入力してください。</v>
      </c>
    </row>
    <row r="132" spans="1:38" s="39" customFormat="1" ht="18" customHeight="1">
      <c r="A132" s="1248"/>
      <c r="B132" s="1249"/>
      <c r="C132" s="1254"/>
      <c r="D132" s="1255"/>
      <c r="E132" s="1263" t="s">
        <v>29</v>
      </c>
      <c r="F132" s="1263"/>
      <c r="G132" s="1263"/>
      <c r="H132" s="1263"/>
      <c r="I132" s="1263"/>
      <c r="J132" s="1263"/>
      <c r="K132" s="1263"/>
      <c r="L132" s="1263"/>
      <c r="M132" s="1263"/>
      <c r="N132" s="1263"/>
      <c r="O132" s="1263"/>
      <c r="P132" s="1263"/>
      <c r="Q132" s="1264"/>
      <c r="R132" s="1265">
        <f>R126+R127+R128+R129+R130+R131</f>
        <v>0</v>
      </c>
      <c r="S132" s="1266"/>
      <c r="T132" s="1266"/>
      <c r="U132" s="1266"/>
      <c r="V132" s="1266"/>
      <c r="W132" s="1266"/>
      <c r="X132" s="1266"/>
      <c r="Y132" s="1266"/>
      <c r="Z132" s="1266"/>
      <c r="AA132" s="1266"/>
      <c r="AB132" s="81" t="s">
        <v>1249</v>
      </c>
      <c r="AC132" s="82"/>
      <c r="AD132" s="41"/>
      <c r="AE132" s="9"/>
      <c r="AF132" s="601" t="str">
        <f>IF(OR($AG$38="本票回答不要",$AG$38="本票Ⅰ生徒数のみ回答必要"),"",
IF(R132&lt;&gt;SUM(R126:R131),"←教育活動収入計が明細計と一致しません。",""))</f>
        <v/>
      </c>
    </row>
    <row r="133" spans="1:38" s="39" customFormat="1" ht="18" customHeight="1">
      <c r="A133" s="1248"/>
      <c r="B133" s="1249"/>
      <c r="C133" s="1267" t="s">
        <v>30</v>
      </c>
      <c r="D133" s="1268"/>
      <c r="E133" s="1273" t="s">
        <v>31</v>
      </c>
      <c r="F133" s="1274"/>
      <c r="G133" s="1274"/>
      <c r="H133" s="1274"/>
      <c r="I133" s="1274"/>
      <c r="J133" s="1274"/>
      <c r="K133" s="1274"/>
      <c r="L133" s="1274"/>
      <c r="M133" s="1274"/>
      <c r="N133" s="1274"/>
      <c r="O133" s="1274"/>
      <c r="P133" s="1274"/>
      <c r="Q133" s="1275"/>
      <c r="R133" s="1276"/>
      <c r="S133" s="1277"/>
      <c r="T133" s="1277"/>
      <c r="U133" s="1277"/>
      <c r="V133" s="1277"/>
      <c r="W133" s="1277"/>
      <c r="X133" s="1277"/>
      <c r="Y133" s="1277"/>
      <c r="Z133" s="1277"/>
      <c r="AA133" s="1277"/>
      <c r="AB133" s="83" t="s">
        <v>1249</v>
      </c>
      <c r="AC133" s="84"/>
      <c r="AD133" s="28"/>
      <c r="AE133" s="9"/>
      <c r="AF133" s="601" t="str">
        <f>IF(OR($AG$38="本票回答不要",$AG$38="本票Ⅰ生徒数のみ回答必要"),"",
IF(R133="","←未記入です。（0円の場合は「0」を入力してください。",""))</f>
        <v>←未記入です。（0円の場合は「0」を入力してください。</v>
      </c>
    </row>
    <row r="134" spans="1:38" s="39" customFormat="1" ht="18" customHeight="1">
      <c r="A134" s="1248"/>
      <c r="B134" s="1249"/>
      <c r="C134" s="1269"/>
      <c r="D134" s="1270"/>
      <c r="E134" s="1235" t="s">
        <v>1246</v>
      </c>
      <c r="F134" s="1236"/>
      <c r="G134" s="1236"/>
      <c r="H134" s="1236"/>
      <c r="I134" s="1236"/>
      <c r="J134" s="1236"/>
      <c r="K134" s="1236"/>
      <c r="L134" s="1236"/>
      <c r="M134" s="1236"/>
      <c r="N134" s="1236"/>
      <c r="O134" s="1236"/>
      <c r="P134" s="1236"/>
      <c r="Q134" s="1237"/>
      <c r="R134" s="179" t="s">
        <v>1087</v>
      </c>
      <c r="S134" s="1234"/>
      <c r="T134" s="1234"/>
      <c r="U134" s="1234"/>
      <c r="V134" s="1234"/>
      <c r="W134" s="1234"/>
      <c r="X134" s="1234"/>
      <c r="Y134" s="1234"/>
      <c r="Z134" s="1234"/>
      <c r="AA134" s="1234"/>
      <c r="AB134" s="180" t="s">
        <v>1247</v>
      </c>
      <c r="AC134" s="78"/>
      <c r="AD134" s="28"/>
      <c r="AE134" s="9"/>
      <c r="AF134" s="601" t="str">
        <f>IF(OR($AG$38="本票回答不要",$AG$38="本票Ⅰ生徒数のみ回答必要"),"",
IF(S134="","←未記入です。（0円の場合は「0」を入力してください。",IF(S134&gt;R133,"←「うち退職給与引当金繰入額」が「人件費」を上回っています。","")))</f>
        <v>←未記入です。（0円の場合は「0」を入力してください。</v>
      </c>
    </row>
    <row r="135" spans="1:38" s="39" customFormat="1" ht="18" customHeight="1">
      <c r="A135" s="1248"/>
      <c r="B135" s="1249"/>
      <c r="C135" s="1269"/>
      <c r="D135" s="1270"/>
      <c r="E135" s="1220" t="s">
        <v>32</v>
      </c>
      <c r="F135" s="1221"/>
      <c r="G135" s="1221"/>
      <c r="H135" s="1221"/>
      <c r="I135" s="1221"/>
      <c r="J135" s="1221"/>
      <c r="K135" s="1221"/>
      <c r="L135" s="1221"/>
      <c r="M135" s="1221"/>
      <c r="N135" s="1221"/>
      <c r="O135" s="1221"/>
      <c r="P135" s="1221"/>
      <c r="Q135" s="1222"/>
      <c r="R135" s="1238"/>
      <c r="S135" s="1239"/>
      <c r="T135" s="1239"/>
      <c r="U135" s="1239"/>
      <c r="V135" s="1239"/>
      <c r="W135" s="1239"/>
      <c r="X135" s="1239"/>
      <c r="Y135" s="1239"/>
      <c r="Z135" s="1239"/>
      <c r="AA135" s="1239"/>
      <c r="AB135" s="77" t="s">
        <v>1249</v>
      </c>
      <c r="AC135" s="78"/>
      <c r="AD135" s="28"/>
      <c r="AE135" s="9"/>
      <c r="AF135" s="601" t="str">
        <f>IF(OR($AG$38="本票回答不要",$AG$38="本票Ⅰ生徒数のみ回答必要"),"",
IF(R135="","←未記入です。（0円の場合は「0」を入力してください。",""))</f>
        <v>←未記入です。（0円の場合は「0」を入力してください。</v>
      </c>
    </row>
    <row r="136" spans="1:38" s="39" customFormat="1" ht="18" customHeight="1">
      <c r="A136" s="1248"/>
      <c r="B136" s="1249"/>
      <c r="C136" s="1269"/>
      <c r="D136" s="1270"/>
      <c r="E136" s="1235" t="s">
        <v>1248</v>
      </c>
      <c r="F136" s="1236"/>
      <c r="G136" s="1236"/>
      <c r="H136" s="1236"/>
      <c r="I136" s="1236"/>
      <c r="J136" s="1236"/>
      <c r="K136" s="1236"/>
      <c r="L136" s="1236"/>
      <c r="M136" s="1236"/>
      <c r="N136" s="1236"/>
      <c r="O136" s="1236"/>
      <c r="P136" s="1236"/>
      <c r="Q136" s="1237"/>
      <c r="R136" s="179" t="s">
        <v>1087</v>
      </c>
      <c r="S136" s="1234"/>
      <c r="T136" s="1234"/>
      <c r="U136" s="1234"/>
      <c r="V136" s="1234"/>
      <c r="W136" s="1234"/>
      <c r="X136" s="1234"/>
      <c r="Y136" s="1234"/>
      <c r="Z136" s="1234"/>
      <c r="AA136" s="1234"/>
      <c r="AB136" s="180" t="s">
        <v>1247</v>
      </c>
      <c r="AC136" s="78"/>
      <c r="AD136" s="28"/>
      <c r="AE136" s="9"/>
      <c r="AF136" s="601" t="str">
        <f>IF(OR($AG$38="本票回答不要",$AG$38="本票Ⅰ生徒数のみ回答必要"),"",
IF(S136="","←未記入です。（0円の場合は「0」を入力してください。",IF(S136&gt;R135,"←「うち減価償却費」が「教育研究経費」を上回っています。","")))</f>
        <v>←未記入です。（0円の場合は「0」を入力してください。</v>
      </c>
    </row>
    <row r="137" spans="1:38" s="42" customFormat="1" ht="18" customHeight="1">
      <c r="A137" s="1248"/>
      <c r="B137" s="1249"/>
      <c r="C137" s="1269"/>
      <c r="D137" s="1270"/>
      <c r="E137" s="1220" t="s">
        <v>33</v>
      </c>
      <c r="F137" s="1221"/>
      <c r="G137" s="1221"/>
      <c r="H137" s="1221"/>
      <c r="I137" s="1221"/>
      <c r="J137" s="1221"/>
      <c r="K137" s="1221"/>
      <c r="L137" s="1221"/>
      <c r="M137" s="1221"/>
      <c r="N137" s="1221"/>
      <c r="O137" s="1221"/>
      <c r="P137" s="1221"/>
      <c r="Q137" s="1222"/>
      <c r="R137" s="1238"/>
      <c r="S137" s="1239"/>
      <c r="T137" s="1239"/>
      <c r="U137" s="1239"/>
      <c r="V137" s="1239"/>
      <c r="W137" s="1239"/>
      <c r="X137" s="1239"/>
      <c r="Y137" s="1239"/>
      <c r="Z137" s="1239"/>
      <c r="AA137" s="1239"/>
      <c r="AB137" s="77" t="s">
        <v>1249</v>
      </c>
      <c r="AC137" s="78"/>
      <c r="AD137" s="9"/>
      <c r="AE137" s="9"/>
      <c r="AF137" s="601" t="str">
        <f>IF(OR($AG$38="本票回答不要",$AG$38="本票Ⅰ生徒数のみ回答必要"),"",
IF(R137="","←未記入です。（0円の場合は「0」を入力してください。",""))</f>
        <v>←未記入です。（0円の場合は「0」を入力してください。</v>
      </c>
      <c r="AG137" s="39"/>
      <c r="AH137" s="39"/>
      <c r="AI137" s="39"/>
      <c r="AJ137" s="39"/>
      <c r="AK137" s="39"/>
      <c r="AL137" s="39"/>
    </row>
    <row r="138" spans="1:38" s="42" customFormat="1" ht="18" customHeight="1">
      <c r="A138" s="1248"/>
      <c r="B138" s="1249"/>
      <c r="C138" s="1269"/>
      <c r="D138" s="1270"/>
      <c r="E138" s="1235" t="s">
        <v>1248</v>
      </c>
      <c r="F138" s="1236"/>
      <c r="G138" s="1236"/>
      <c r="H138" s="1236"/>
      <c r="I138" s="1236"/>
      <c r="J138" s="1236"/>
      <c r="K138" s="1236"/>
      <c r="L138" s="1236"/>
      <c r="M138" s="1236"/>
      <c r="N138" s="1236"/>
      <c r="O138" s="1236"/>
      <c r="P138" s="1236"/>
      <c r="Q138" s="1237"/>
      <c r="R138" s="179" t="s">
        <v>1087</v>
      </c>
      <c r="S138" s="1234"/>
      <c r="T138" s="1234"/>
      <c r="U138" s="1234"/>
      <c r="V138" s="1234"/>
      <c r="W138" s="1234"/>
      <c r="X138" s="1234"/>
      <c r="Y138" s="1234"/>
      <c r="Z138" s="1234"/>
      <c r="AA138" s="1234"/>
      <c r="AB138" s="180" t="s">
        <v>1247</v>
      </c>
      <c r="AC138" s="78"/>
      <c r="AD138" s="9"/>
      <c r="AE138" s="9"/>
      <c r="AF138" s="601" t="str">
        <f>IF(OR($AG$38="本票回答不要",$AG$38="本票Ⅰ生徒数のみ回答必要"),"",
IF(S138="","←未記入です。（0円の場合は「0」を入力してください。",IF(S138&gt;R137,"←「うち減価償却費」が「管理経費」を上回っています。","")))</f>
        <v>←未記入です。（0円の場合は「0」を入力してください。</v>
      </c>
      <c r="AG138" s="39"/>
      <c r="AH138" s="39"/>
      <c r="AI138" s="39"/>
      <c r="AJ138" s="39"/>
      <c r="AK138" s="39"/>
      <c r="AL138" s="39"/>
    </row>
    <row r="139" spans="1:38" s="42" customFormat="1" ht="18" customHeight="1">
      <c r="A139" s="1248"/>
      <c r="B139" s="1249"/>
      <c r="C139" s="1269"/>
      <c r="D139" s="1270"/>
      <c r="E139" s="1313" t="s">
        <v>34</v>
      </c>
      <c r="F139" s="1314"/>
      <c r="G139" s="1314"/>
      <c r="H139" s="1314"/>
      <c r="I139" s="1314"/>
      <c r="J139" s="1314"/>
      <c r="K139" s="1314"/>
      <c r="L139" s="1314"/>
      <c r="M139" s="1314"/>
      <c r="N139" s="1314"/>
      <c r="O139" s="1314"/>
      <c r="P139" s="1314"/>
      <c r="Q139" s="1315"/>
      <c r="R139" s="1261"/>
      <c r="S139" s="1262"/>
      <c r="T139" s="1262"/>
      <c r="U139" s="1262"/>
      <c r="V139" s="1262"/>
      <c r="W139" s="1262"/>
      <c r="X139" s="1262"/>
      <c r="Y139" s="1262"/>
      <c r="Z139" s="1262"/>
      <c r="AA139" s="1262"/>
      <c r="AB139" s="77" t="s">
        <v>1249</v>
      </c>
      <c r="AC139" s="78"/>
      <c r="AD139" s="28"/>
      <c r="AE139" s="9"/>
      <c r="AF139" s="601" t="str">
        <f>IF(OR($AG$38="本票回答不要",$AG$38="本票Ⅰ生徒数のみ回答必要"),"",
IF(R139="","←未記入です。（0円の場合は「0」を入力してください。",""))</f>
        <v>←未記入です。（0円の場合は「0」を入力してください。</v>
      </c>
      <c r="AG139" s="39"/>
      <c r="AH139" s="39"/>
      <c r="AI139" s="39"/>
      <c r="AJ139" s="39"/>
      <c r="AK139" s="39"/>
      <c r="AL139" s="39"/>
    </row>
    <row r="140" spans="1:38" s="42" customFormat="1" ht="18" customHeight="1">
      <c r="A140" s="1248"/>
      <c r="B140" s="1249"/>
      <c r="C140" s="1271"/>
      <c r="D140" s="1272"/>
      <c r="E140" s="1242" t="s">
        <v>35</v>
      </c>
      <c r="F140" s="1242"/>
      <c r="G140" s="1242"/>
      <c r="H140" s="1242"/>
      <c r="I140" s="1242"/>
      <c r="J140" s="1242"/>
      <c r="K140" s="1242"/>
      <c r="L140" s="1242"/>
      <c r="M140" s="1242"/>
      <c r="N140" s="1242"/>
      <c r="O140" s="1242"/>
      <c r="P140" s="1242"/>
      <c r="Q140" s="1243"/>
      <c r="R140" s="1285">
        <f>R133+R135+R137+R139</f>
        <v>0</v>
      </c>
      <c r="S140" s="1286"/>
      <c r="T140" s="1286"/>
      <c r="U140" s="1286"/>
      <c r="V140" s="1286"/>
      <c r="W140" s="1286"/>
      <c r="X140" s="1286"/>
      <c r="Y140" s="1286"/>
      <c r="Z140" s="1286"/>
      <c r="AA140" s="1286"/>
      <c r="AB140" s="81" t="s">
        <v>1249</v>
      </c>
      <c r="AC140" s="82"/>
      <c r="AD140" s="28"/>
      <c r="AE140" s="9"/>
      <c r="AF140" s="601" t="str">
        <f>IF(OR($AG$38="本票回答不要",$AG$38="本票Ⅰ生徒数のみ回答必要"),"",
IF(R140&lt;&gt;SUM(R133,R135,R137,R139),"←教育活動支出計が明細計と一致しません。",""))</f>
        <v/>
      </c>
      <c r="AG140" s="39"/>
      <c r="AH140" s="39"/>
      <c r="AI140" s="39"/>
      <c r="AJ140" s="39"/>
      <c r="AK140" s="39"/>
      <c r="AL140" s="39"/>
    </row>
    <row r="141" spans="1:38" s="42" customFormat="1" ht="18" customHeight="1">
      <c r="A141" s="85"/>
      <c r="B141" s="86"/>
      <c r="C141" s="1282" t="s">
        <v>36</v>
      </c>
      <c r="D141" s="1283"/>
      <c r="E141" s="1283"/>
      <c r="F141" s="1283"/>
      <c r="G141" s="1283"/>
      <c r="H141" s="1283"/>
      <c r="I141" s="1283"/>
      <c r="J141" s="1283"/>
      <c r="K141" s="1283"/>
      <c r="L141" s="1283"/>
      <c r="M141" s="1283"/>
      <c r="N141" s="1283"/>
      <c r="O141" s="1283"/>
      <c r="P141" s="1283"/>
      <c r="Q141" s="1284"/>
      <c r="R141" s="1285">
        <f>R132-R140</f>
        <v>0</v>
      </c>
      <c r="S141" s="1286"/>
      <c r="T141" s="1286"/>
      <c r="U141" s="1286"/>
      <c r="V141" s="1286"/>
      <c r="W141" s="1286"/>
      <c r="X141" s="1286"/>
      <c r="Y141" s="1286"/>
      <c r="Z141" s="1286"/>
      <c r="AA141" s="1286"/>
      <c r="AB141" s="81" t="s">
        <v>1249</v>
      </c>
      <c r="AC141" s="82"/>
      <c r="AD141" s="10"/>
      <c r="AE141" s="9"/>
      <c r="AF141" s="601" t="str">
        <f>IF(OR($AG$38="本票回答不要",$AG$38="本票Ⅰ生徒数のみ回答必要"),"",
IF(R141&lt;&gt;R132-R140,"←教育活動収支差額が「教育活動収入計-教育活動支出計」と一致しません。",""))</f>
        <v/>
      </c>
      <c r="AG141" s="39"/>
      <c r="AH141" s="39"/>
      <c r="AI141" s="39"/>
      <c r="AJ141" s="39"/>
      <c r="AK141" s="39"/>
      <c r="AL141" s="39"/>
    </row>
    <row r="142" spans="1:38" s="42" customFormat="1" ht="18" customHeight="1">
      <c r="A142" s="1300" t="s">
        <v>377</v>
      </c>
      <c r="B142" s="1301"/>
      <c r="C142" s="47"/>
      <c r="D142" s="48"/>
      <c r="E142" s="1263" t="s">
        <v>378</v>
      </c>
      <c r="F142" s="1263"/>
      <c r="G142" s="1263"/>
      <c r="H142" s="1263"/>
      <c r="I142" s="1263"/>
      <c r="J142" s="1263"/>
      <c r="K142" s="1263"/>
      <c r="L142" s="1263"/>
      <c r="M142" s="1263"/>
      <c r="N142" s="1263"/>
      <c r="O142" s="1263"/>
      <c r="P142" s="1263"/>
      <c r="Q142" s="1264"/>
      <c r="R142" s="1240"/>
      <c r="S142" s="1241"/>
      <c r="T142" s="1241"/>
      <c r="U142" s="1241"/>
      <c r="V142" s="1241"/>
      <c r="W142" s="1241"/>
      <c r="X142" s="1241"/>
      <c r="Y142" s="1241"/>
      <c r="Z142" s="1241"/>
      <c r="AA142" s="1241"/>
      <c r="AB142" s="81" t="s">
        <v>1249</v>
      </c>
      <c r="AC142" s="82"/>
      <c r="AD142" s="10"/>
      <c r="AE142" s="9"/>
      <c r="AF142" s="601" t="str">
        <f>IF(OR($AG$38="本票回答不要",$AG$38="本票Ⅰ生徒数のみ回答必要"),"",
IF(R142="","←未記入です。（0円の場合は「0」を入力してください。",""))</f>
        <v>←未記入です。（0円の場合は「0」を入力してください。</v>
      </c>
      <c r="AG142" s="39"/>
      <c r="AH142" s="39"/>
      <c r="AI142" s="39"/>
      <c r="AJ142" s="39"/>
      <c r="AK142" s="39"/>
      <c r="AL142" s="39"/>
    </row>
    <row r="143" spans="1:38" s="42" customFormat="1" ht="18" customHeight="1">
      <c r="A143" s="1302"/>
      <c r="B143" s="1301"/>
      <c r="C143" s="45"/>
      <c r="D143" s="46"/>
      <c r="E143" s="1242" t="s">
        <v>379</v>
      </c>
      <c r="F143" s="1242"/>
      <c r="G143" s="1242"/>
      <c r="H143" s="1242"/>
      <c r="I143" s="1242"/>
      <c r="J143" s="1242"/>
      <c r="K143" s="1242"/>
      <c r="L143" s="1242"/>
      <c r="M143" s="1242"/>
      <c r="N143" s="1242"/>
      <c r="O143" s="1242"/>
      <c r="P143" s="1242"/>
      <c r="Q143" s="1243"/>
      <c r="R143" s="1244"/>
      <c r="S143" s="1245"/>
      <c r="T143" s="1245"/>
      <c r="U143" s="1245"/>
      <c r="V143" s="1245"/>
      <c r="W143" s="1245"/>
      <c r="X143" s="1245"/>
      <c r="Y143" s="1245"/>
      <c r="Z143" s="1245"/>
      <c r="AA143" s="1245"/>
      <c r="AB143" s="87" t="s">
        <v>1249</v>
      </c>
      <c r="AC143" s="88"/>
      <c r="AD143" s="10"/>
      <c r="AE143" s="9"/>
      <c r="AF143" s="601" t="str">
        <f>IF(OR($AG$38="本票回答不要",$AG$38="本票Ⅰ生徒数のみ回答必要"),"",
IF(R143="","←未記入です。（0円の場合は「0」を入力してください。",""))</f>
        <v>←未記入です。（0円の場合は「0」を入力してください。</v>
      </c>
      <c r="AG143" s="39"/>
      <c r="AH143" s="39"/>
      <c r="AI143" s="39"/>
      <c r="AJ143" s="39"/>
      <c r="AK143" s="39"/>
      <c r="AL143" s="39"/>
    </row>
    <row r="144" spans="1:38" s="42" customFormat="1" ht="18" customHeight="1">
      <c r="A144" s="1303"/>
      <c r="B144" s="1304"/>
      <c r="C144" s="1282" t="s">
        <v>37</v>
      </c>
      <c r="D144" s="1283"/>
      <c r="E144" s="1283"/>
      <c r="F144" s="1283"/>
      <c r="G144" s="1283"/>
      <c r="H144" s="1283"/>
      <c r="I144" s="1283"/>
      <c r="J144" s="1283"/>
      <c r="K144" s="1283"/>
      <c r="L144" s="1283"/>
      <c r="M144" s="1283"/>
      <c r="N144" s="1283">
        <f>N142-N143</f>
        <v>0</v>
      </c>
      <c r="O144" s="1283"/>
      <c r="P144" s="1283"/>
      <c r="Q144" s="1284"/>
      <c r="R144" s="1285">
        <f>R142-R143</f>
        <v>0</v>
      </c>
      <c r="S144" s="1286"/>
      <c r="T144" s="1286"/>
      <c r="U144" s="1286"/>
      <c r="V144" s="1286"/>
      <c r="W144" s="1286"/>
      <c r="X144" s="1286"/>
      <c r="Y144" s="1286"/>
      <c r="Z144" s="1286"/>
      <c r="AA144" s="1286"/>
      <c r="AB144" s="83" t="s">
        <v>1249</v>
      </c>
      <c r="AC144" s="84"/>
      <c r="AD144" s="10"/>
      <c r="AE144" s="9"/>
      <c r="AF144" s="601"/>
      <c r="AG144" s="39"/>
      <c r="AH144" s="39"/>
      <c r="AI144" s="39"/>
      <c r="AJ144" s="39"/>
      <c r="AK144" s="39"/>
      <c r="AL144" s="39"/>
    </row>
    <row r="145" spans="1:32" s="39" customFormat="1" ht="18" customHeight="1">
      <c r="A145" s="1287" t="s">
        <v>38</v>
      </c>
      <c r="B145" s="1288"/>
      <c r="C145" s="209"/>
      <c r="D145" s="210"/>
      <c r="E145" s="1293" t="s">
        <v>380</v>
      </c>
      <c r="F145" s="1293"/>
      <c r="G145" s="1293"/>
      <c r="H145" s="1293"/>
      <c r="I145" s="1293"/>
      <c r="J145" s="1293"/>
      <c r="K145" s="1293"/>
      <c r="L145" s="1293"/>
      <c r="M145" s="1293"/>
      <c r="N145" s="1293"/>
      <c r="O145" s="1293"/>
      <c r="P145" s="1293"/>
      <c r="Q145" s="1294"/>
      <c r="R145" s="1295"/>
      <c r="S145" s="1296"/>
      <c r="T145" s="1296"/>
      <c r="U145" s="1296"/>
      <c r="V145" s="1296"/>
      <c r="W145" s="1296"/>
      <c r="X145" s="1296"/>
      <c r="Y145" s="1296"/>
      <c r="Z145" s="1296"/>
      <c r="AA145" s="1296"/>
      <c r="AB145" s="81" t="s">
        <v>1249</v>
      </c>
      <c r="AC145" s="82"/>
      <c r="AD145" s="10"/>
      <c r="AE145" s="9"/>
      <c r="AF145" s="601" t="str">
        <f>IF(OR($AG$38="本票回答不要",$AG$38="本票Ⅰ生徒数のみ回答必要"),"",
IF(R145="","←未記入です。（0円の場合は「0」を入力してください。",""))</f>
        <v>←未記入です。（0円の場合は「0」を入力してください。</v>
      </c>
    </row>
    <row r="146" spans="1:32" s="39" customFormat="1" ht="18" customHeight="1">
      <c r="A146" s="1289"/>
      <c r="B146" s="1290"/>
      <c r="C146" s="212"/>
      <c r="D146" s="211"/>
      <c r="E146" s="1297" t="s">
        <v>381</v>
      </c>
      <c r="F146" s="1298"/>
      <c r="G146" s="1298"/>
      <c r="H146" s="1298"/>
      <c r="I146" s="1298"/>
      <c r="J146" s="1298"/>
      <c r="K146" s="1298"/>
      <c r="L146" s="1298"/>
      <c r="M146" s="1298"/>
      <c r="N146" s="1298"/>
      <c r="O146" s="1298"/>
      <c r="P146" s="1298"/>
      <c r="Q146" s="1299"/>
      <c r="R146" s="150" t="s">
        <v>1087</v>
      </c>
      <c r="S146" s="1241"/>
      <c r="T146" s="1241"/>
      <c r="U146" s="1241"/>
      <c r="V146" s="1241"/>
      <c r="W146" s="1241"/>
      <c r="X146" s="1241"/>
      <c r="Y146" s="1241"/>
      <c r="Z146" s="1241"/>
      <c r="AA146" s="1241"/>
      <c r="AB146" s="87" t="s">
        <v>1247</v>
      </c>
      <c r="AC146" s="88"/>
      <c r="AD146" s="1305" t="s">
        <v>382</v>
      </c>
      <c r="AE146" s="1306"/>
      <c r="AF146" s="601" t="str">
        <f>IF(OR($AG$38="本票回答不要",$AG$38="本票Ⅰ生徒数のみ回答必要"),"",
IF(S146="","←未記入です。（0円の場合は「0」を入力してください。",IF(S146&gt;R145,"←「うち施設設備補助金」が「特別収入計（資産売却差額、設備寄付等）」を上回っています。","")))</f>
        <v>←未記入です。（0円の場合は「0」を入力してください。</v>
      </c>
    </row>
    <row r="147" spans="1:32" s="39" customFormat="1" ht="18" customHeight="1">
      <c r="A147" s="1289"/>
      <c r="B147" s="1290"/>
      <c r="C147" s="213"/>
      <c r="D147" s="214"/>
      <c r="E147" s="1308" t="s">
        <v>1261</v>
      </c>
      <c r="F147" s="1308"/>
      <c r="G147" s="1308"/>
      <c r="H147" s="1308"/>
      <c r="I147" s="1308"/>
      <c r="J147" s="1308"/>
      <c r="K147" s="1308"/>
      <c r="L147" s="1308"/>
      <c r="M147" s="1308"/>
      <c r="N147" s="1308"/>
      <c r="O147" s="1308"/>
      <c r="P147" s="1308"/>
      <c r="Q147" s="1309"/>
      <c r="R147" s="1244"/>
      <c r="S147" s="1245"/>
      <c r="T147" s="1245"/>
      <c r="U147" s="1245"/>
      <c r="V147" s="1245"/>
      <c r="W147" s="1245"/>
      <c r="X147" s="1245"/>
      <c r="Y147" s="1245"/>
      <c r="Z147" s="1245"/>
      <c r="AA147" s="1245"/>
      <c r="AB147" s="87" t="s">
        <v>1249</v>
      </c>
      <c r="AC147" s="88"/>
      <c r="AD147" s="1307"/>
      <c r="AE147" s="1306"/>
      <c r="AF147" s="601" t="str">
        <f>IF(OR($AG$38="本票回答不要",$AG$38="本票Ⅰ生徒数のみ回答必要"),"",
IF(R147="","←未記入です。（0円の場合は「0」を入力してください。",""))</f>
        <v>←未記入です。（0円の場合は「0」を入力してください。</v>
      </c>
    </row>
    <row r="148" spans="1:32" s="39" customFormat="1" ht="18" customHeight="1">
      <c r="A148" s="1291"/>
      <c r="B148" s="1292"/>
      <c r="C148" s="1282" t="s">
        <v>39</v>
      </c>
      <c r="D148" s="1283"/>
      <c r="E148" s="1283"/>
      <c r="F148" s="1283"/>
      <c r="G148" s="1283"/>
      <c r="H148" s="1283"/>
      <c r="I148" s="1283"/>
      <c r="J148" s="1283"/>
      <c r="K148" s="1283"/>
      <c r="L148" s="1283"/>
      <c r="M148" s="1283"/>
      <c r="N148" s="1283"/>
      <c r="O148" s="1283"/>
      <c r="P148" s="1283"/>
      <c r="Q148" s="1284"/>
      <c r="R148" s="1285">
        <f>R145-R147</f>
        <v>0</v>
      </c>
      <c r="S148" s="1286"/>
      <c r="T148" s="1286"/>
      <c r="U148" s="1286"/>
      <c r="V148" s="1286"/>
      <c r="W148" s="1286"/>
      <c r="X148" s="1286"/>
      <c r="Y148" s="1286"/>
      <c r="Z148" s="1286"/>
      <c r="AA148" s="1286"/>
      <c r="AB148" s="81" t="s">
        <v>1249</v>
      </c>
      <c r="AC148" s="82"/>
      <c r="AD148" s="1307"/>
      <c r="AE148" s="1306"/>
      <c r="AF148" s="601"/>
    </row>
    <row r="149" spans="1:32" s="39" customFormat="1" ht="18" customHeight="1">
      <c r="A149" s="1310" t="s">
        <v>40</v>
      </c>
      <c r="B149" s="1311"/>
      <c r="C149" s="1311"/>
      <c r="D149" s="1311"/>
      <c r="E149" s="1311"/>
      <c r="F149" s="1311"/>
      <c r="G149" s="1311"/>
      <c r="H149" s="1311"/>
      <c r="I149" s="1311"/>
      <c r="J149" s="1311"/>
      <c r="K149" s="1311"/>
      <c r="L149" s="1311"/>
      <c r="M149" s="1311"/>
      <c r="N149" s="1311"/>
      <c r="O149" s="1311"/>
      <c r="P149" s="1311"/>
      <c r="Q149" s="1312"/>
      <c r="R149" s="1285">
        <f>R153-R154</f>
        <v>0</v>
      </c>
      <c r="S149" s="1286"/>
      <c r="T149" s="1286"/>
      <c r="U149" s="1286"/>
      <c r="V149" s="1286"/>
      <c r="W149" s="1286"/>
      <c r="X149" s="1286"/>
      <c r="Y149" s="1286"/>
      <c r="Z149" s="1286"/>
      <c r="AA149" s="1286"/>
      <c r="AB149" s="81" t="s">
        <v>1249</v>
      </c>
      <c r="AC149" s="82"/>
      <c r="AD149" s="1307"/>
      <c r="AE149" s="1306"/>
      <c r="AF149" s="601"/>
    </row>
    <row r="150" spans="1:32" s="39" customFormat="1" ht="18" customHeight="1">
      <c r="A150" s="1310" t="s">
        <v>41</v>
      </c>
      <c r="B150" s="1311"/>
      <c r="C150" s="1311"/>
      <c r="D150" s="1311"/>
      <c r="E150" s="1311"/>
      <c r="F150" s="1311"/>
      <c r="G150" s="1311"/>
      <c r="H150" s="1311"/>
      <c r="I150" s="1311"/>
      <c r="J150" s="1311"/>
      <c r="K150" s="1311"/>
      <c r="L150" s="1311"/>
      <c r="M150" s="1311"/>
      <c r="N150" s="1311"/>
      <c r="O150" s="1311"/>
      <c r="P150" s="1311"/>
      <c r="Q150" s="1312"/>
      <c r="R150" s="1295"/>
      <c r="S150" s="1296"/>
      <c r="T150" s="1296"/>
      <c r="U150" s="1296"/>
      <c r="V150" s="1296"/>
      <c r="W150" s="1296"/>
      <c r="X150" s="1296"/>
      <c r="Y150" s="1296"/>
      <c r="Z150" s="1296"/>
      <c r="AA150" s="1296"/>
      <c r="AB150" s="81" t="s">
        <v>1249</v>
      </c>
      <c r="AC150" s="82"/>
      <c r="AD150" s="1307"/>
      <c r="AE150" s="1306"/>
      <c r="AF150" s="601" t="str">
        <f>IF(OR($AG$38="本票回答不要",$AG$38="本票Ⅰ生徒数のみ回答必要"),"",
IF(R150="","←未記入です。（0円の場合は「0」を入力してください。",IF(R150&gt;0,"←基本金組入額合計がプラスになっています。（プラスで良い場合は無視してください。）","")))</f>
        <v>←未記入です。（0円の場合は「0」を入力してください。</v>
      </c>
    </row>
    <row r="151" spans="1:32" s="39" customFormat="1" ht="18" customHeight="1" thickBot="1">
      <c r="A151" s="1452" t="s">
        <v>42</v>
      </c>
      <c r="B151" s="1453"/>
      <c r="C151" s="1453"/>
      <c r="D151" s="1453"/>
      <c r="E151" s="1453"/>
      <c r="F151" s="1453"/>
      <c r="G151" s="1453"/>
      <c r="H151" s="1453"/>
      <c r="I151" s="1453"/>
      <c r="J151" s="1453"/>
      <c r="K151" s="1453"/>
      <c r="L151" s="1453"/>
      <c r="M151" s="1453"/>
      <c r="N151" s="1453"/>
      <c r="O151" s="1453"/>
      <c r="P151" s="1453"/>
      <c r="Q151" s="1454"/>
      <c r="R151" s="1455">
        <f>R149+R150</f>
        <v>0</v>
      </c>
      <c r="S151" s="1456"/>
      <c r="T151" s="1456"/>
      <c r="U151" s="1456"/>
      <c r="V151" s="1456"/>
      <c r="W151" s="1456"/>
      <c r="X151" s="1456"/>
      <c r="Y151" s="1456"/>
      <c r="Z151" s="1456"/>
      <c r="AA151" s="1456"/>
      <c r="AB151" s="89" t="s">
        <v>1249</v>
      </c>
      <c r="AC151" s="90"/>
      <c r="AD151" s="91"/>
      <c r="AE151" s="91"/>
      <c r="AF151" s="601"/>
    </row>
    <row r="152" spans="1:32" s="49" customFormat="1" ht="18" customHeight="1" thickBot="1">
      <c r="A152" s="30"/>
      <c r="B152" s="31"/>
      <c r="C152" s="30"/>
      <c r="D152" s="32"/>
      <c r="E152" s="32"/>
      <c r="F152" s="32"/>
      <c r="G152" s="32"/>
      <c r="H152" s="32"/>
      <c r="I152" s="32"/>
      <c r="J152" s="32"/>
      <c r="K152" s="32"/>
      <c r="L152" s="32"/>
      <c r="M152" s="33"/>
      <c r="N152" s="34"/>
      <c r="O152" s="34"/>
      <c r="P152" s="34"/>
      <c r="Q152" s="34"/>
      <c r="R152" s="34"/>
      <c r="S152" s="34"/>
      <c r="T152" s="34"/>
      <c r="U152" s="34"/>
      <c r="V152" s="92"/>
      <c r="W152" s="92"/>
      <c r="X152" s="29"/>
      <c r="Y152" s="29"/>
      <c r="Z152" s="93"/>
      <c r="AA152" s="93"/>
      <c r="AB152" s="93"/>
      <c r="AC152" s="93"/>
      <c r="AD152" s="91"/>
      <c r="AE152" s="91"/>
      <c r="AF152" s="601"/>
    </row>
    <row r="153" spans="1:32" s="49" customFormat="1" ht="18" customHeight="1">
      <c r="A153" s="1457" t="s">
        <v>43</v>
      </c>
      <c r="B153" s="1458"/>
      <c r="C153" s="1458"/>
      <c r="D153" s="1458"/>
      <c r="E153" s="1458"/>
      <c r="F153" s="1458"/>
      <c r="G153" s="1458"/>
      <c r="H153" s="1458"/>
      <c r="I153" s="1458"/>
      <c r="J153" s="1458"/>
      <c r="K153" s="1458"/>
      <c r="L153" s="1458"/>
      <c r="M153" s="1458"/>
      <c r="N153" s="1458"/>
      <c r="O153" s="1458"/>
      <c r="P153" s="1458"/>
      <c r="Q153" s="1459"/>
      <c r="R153" s="1460">
        <f>R132+R142+R145</f>
        <v>0</v>
      </c>
      <c r="S153" s="1460"/>
      <c r="T153" s="1460"/>
      <c r="U153" s="1460"/>
      <c r="V153" s="1460"/>
      <c r="W153" s="1460"/>
      <c r="X153" s="1460"/>
      <c r="Y153" s="1460"/>
      <c r="Z153" s="1460"/>
      <c r="AA153" s="1460"/>
      <c r="AB153" s="1461" t="s">
        <v>18</v>
      </c>
      <c r="AC153" s="1462"/>
      <c r="AD153" s="12"/>
      <c r="AE153" s="15"/>
      <c r="AF153" s="621"/>
    </row>
    <row r="154" spans="1:32" s="49" customFormat="1" ht="18" customHeight="1" thickBot="1">
      <c r="A154" s="1463" t="s">
        <v>44</v>
      </c>
      <c r="B154" s="1464"/>
      <c r="C154" s="1464"/>
      <c r="D154" s="1464"/>
      <c r="E154" s="1464"/>
      <c r="F154" s="1464"/>
      <c r="G154" s="1464"/>
      <c r="H154" s="1464"/>
      <c r="I154" s="1464"/>
      <c r="J154" s="1464"/>
      <c r="K154" s="1464"/>
      <c r="L154" s="1464"/>
      <c r="M154" s="1464"/>
      <c r="N154" s="1464"/>
      <c r="O154" s="1464"/>
      <c r="P154" s="1464"/>
      <c r="Q154" s="1465"/>
      <c r="R154" s="1456">
        <f>R140+R143+R147</f>
        <v>0</v>
      </c>
      <c r="S154" s="1456"/>
      <c r="T154" s="1456"/>
      <c r="U154" s="1456"/>
      <c r="V154" s="1456"/>
      <c r="W154" s="1456"/>
      <c r="X154" s="1456"/>
      <c r="Y154" s="1456"/>
      <c r="Z154" s="1456"/>
      <c r="AA154" s="1456"/>
      <c r="AB154" s="1466" t="s">
        <v>18</v>
      </c>
      <c r="AC154" s="1467"/>
      <c r="AD154" s="12"/>
      <c r="AE154" s="12"/>
      <c r="AF154" s="622"/>
    </row>
    <row r="155" spans="1:32" s="39" customFormat="1" ht="4.9000000000000004"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221"/>
      <c r="AC155" s="221"/>
      <c r="AD155" s="156"/>
      <c r="AE155" s="156"/>
      <c r="AF155" s="601"/>
    </row>
    <row r="156" spans="1:32" s="39" customFormat="1" ht="18" customHeight="1">
      <c r="A156" s="1448" t="s">
        <v>1287</v>
      </c>
      <c r="B156" s="1448"/>
      <c r="C156" s="1448"/>
      <c r="D156" s="1448"/>
      <c r="E156" s="1448"/>
      <c r="F156" s="1448"/>
      <c r="G156" s="1448"/>
      <c r="H156" s="1448"/>
      <c r="I156" s="1448"/>
      <c r="J156" s="1448"/>
      <c r="K156" s="1448"/>
      <c r="L156" s="1448"/>
      <c r="M156" s="1448"/>
      <c r="N156" s="1448"/>
      <c r="O156" s="1448"/>
      <c r="P156" s="1448"/>
      <c r="Q156" s="1449"/>
      <c r="R156" s="1442" t="str">
        <f>IF(Z52&gt;0,R126/Z52,"")</f>
        <v/>
      </c>
      <c r="S156" s="1445"/>
      <c r="T156" s="1445"/>
      <c r="U156" s="1445"/>
      <c r="V156" s="1445"/>
      <c r="W156" s="1445"/>
      <c r="X156" s="1445"/>
      <c r="Y156" s="1445"/>
      <c r="Z156" s="1445"/>
      <c r="AA156" s="1445"/>
      <c r="AB156" s="1450" t="s">
        <v>1213</v>
      </c>
      <c r="AC156" s="1451"/>
      <c r="AD156" s="219"/>
      <c r="AE156" s="219"/>
      <c r="AF156" s="601" t="str">
        <f>IF(OR($AG$38="本票回答不要",$AG$38="本票Ⅰ生徒数のみ回答必要"),"",
IF(R156="","",
IF(R156&gt;=3000000,"←生徒一人当たり学納金が300万円以上です。問題なければ構いません。",IF(R156&lt;300000,"←生徒一人当たり学納金が30万円未満です。問題なければ構いません。",""))))</f>
        <v/>
      </c>
    </row>
    <row r="157" spans="1:32" s="39" customFormat="1" ht="33.75" customHeight="1">
      <c r="A157" s="1280" t="s">
        <v>1288</v>
      </c>
      <c r="B157" s="1281"/>
      <c r="C157" s="1281"/>
      <c r="D157" s="1281"/>
      <c r="E157" s="1281"/>
      <c r="F157" s="1281"/>
      <c r="G157" s="1281"/>
      <c r="H157" s="1281"/>
      <c r="I157" s="1281"/>
      <c r="J157" s="1281"/>
      <c r="K157" s="1281"/>
      <c r="L157" s="1281"/>
      <c r="M157" s="1281"/>
      <c r="N157" s="1281"/>
      <c r="O157" s="1281"/>
      <c r="P157" s="1281"/>
      <c r="Q157" s="1281"/>
      <c r="R157" s="1281"/>
      <c r="S157" s="1281"/>
      <c r="T157" s="1281"/>
      <c r="U157" s="1281"/>
      <c r="V157" s="1281"/>
      <c r="W157" s="1281"/>
      <c r="X157" s="1281"/>
      <c r="Y157" s="1281"/>
      <c r="Z157" s="1281"/>
      <c r="AA157" s="1281"/>
      <c r="AB157" s="1281"/>
      <c r="AC157" s="1281"/>
      <c r="AD157" s="1281"/>
      <c r="AE157" s="1281"/>
      <c r="AF157" s="601"/>
    </row>
    <row r="158" spans="1:32" s="39" customFormat="1" ht="4.9000000000000004"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227"/>
    </row>
    <row r="159" spans="1:32" s="39" customFormat="1" ht="4.9000000000000004"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227"/>
    </row>
    <row r="160" spans="1:32" s="39" customFormat="1" ht="4.9000000000000004"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227"/>
    </row>
    <row r="161" spans="1:38" ht="4.9000000000000004"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row>
    <row r="162" spans="1:38" s="6" customFormat="1" ht="4.9000000000000004"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229"/>
    </row>
    <row r="163" spans="1:38" s="6" customFormat="1" ht="24.75" customHeight="1">
      <c r="A163" s="8"/>
      <c r="B163" s="8"/>
      <c r="C163" s="8"/>
      <c r="D163" s="8"/>
      <c r="E163" s="8"/>
      <c r="F163" s="8"/>
      <c r="G163" s="8"/>
      <c r="H163" s="8"/>
      <c r="I163" s="1278" t="s">
        <v>120</v>
      </c>
      <c r="J163" s="1278"/>
      <c r="K163" s="1278"/>
      <c r="L163" s="1278"/>
      <c r="M163" s="1278"/>
      <c r="N163" s="1278"/>
      <c r="O163" s="1278"/>
      <c r="P163" s="1278"/>
      <c r="Q163" s="1278"/>
      <c r="R163" s="1278"/>
      <c r="S163" s="1278"/>
      <c r="T163" s="1278"/>
      <c r="U163" s="1278"/>
      <c r="V163" s="1278"/>
      <c r="W163" s="1278"/>
      <c r="X163" s="1278"/>
      <c r="Y163" s="8"/>
      <c r="Z163" s="8"/>
      <c r="AA163" s="1279"/>
      <c r="AB163" s="1279"/>
      <c r="AC163" s="1279"/>
      <c r="AD163" s="1279"/>
      <c r="AE163" s="1279"/>
      <c r="AF163" s="229"/>
    </row>
    <row r="164" spans="1:38" ht="4.9000000000000004"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row>
    <row r="165" spans="1:38" ht="15" customHeight="1">
      <c r="A165" s="1316" t="s">
        <v>1289</v>
      </c>
      <c r="B165" s="1316"/>
      <c r="C165" s="1316"/>
      <c r="D165" s="1316"/>
      <c r="E165" s="1316"/>
      <c r="F165" s="1316"/>
      <c r="G165" s="1316"/>
      <c r="H165" s="1316"/>
      <c r="I165" s="1316"/>
      <c r="J165" s="1316"/>
      <c r="K165" s="1316"/>
      <c r="L165" s="1316"/>
      <c r="M165" s="1316"/>
      <c r="N165" s="1316"/>
      <c r="O165" s="1316"/>
      <c r="P165" s="1316"/>
      <c r="Q165" s="1316"/>
      <c r="R165" s="1316"/>
      <c r="S165" s="1316"/>
      <c r="T165" s="1316"/>
      <c r="U165" s="1316"/>
      <c r="V165" s="1316"/>
      <c r="W165" s="1316"/>
      <c r="X165" s="1316"/>
      <c r="Y165" s="1316"/>
      <c r="Z165" s="1316"/>
      <c r="AA165" s="1316"/>
      <c r="AB165" s="1316"/>
      <c r="AC165" s="1316"/>
      <c r="AD165" s="1316"/>
      <c r="AE165" s="1316"/>
    </row>
    <row r="166" spans="1:38" ht="15" customHeight="1">
      <c r="A166" s="1317" t="s">
        <v>1290</v>
      </c>
      <c r="B166" s="1318"/>
      <c r="C166" s="1318"/>
      <c r="D166" s="185"/>
      <c r="E166" s="186"/>
      <c r="F166" s="186"/>
      <c r="G166" s="186"/>
      <c r="H166" s="186"/>
      <c r="I166" s="186"/>
      <c r="J166" s="186"/>
      <c r="K166" s="186"/>
      <c r="L166" s="186"/>
      <c r="M166" s="186"/>
      <c r="N166" s="186"/>
      <c r="O166" s="186"/>
      <c r="P166" s="186"/>
      <c r="Q166" s="186"/>
      <c r="R166" s="186"/>
      <c r="S166" s="186"/>
      <c r="T166" s="186"/>
      <c r="U166" s="186"/>
      <c r="V166" s="186"/>
      <c r="W166" s="186"/>
      <c r="X166" s="187"/>
      <c r="Y166" s="1321" t="s">
        <v>1254</v>
      </c>
      <c r="Z166" s="1322"/>
      <c r="AA166" s="1322"/>
      <c r="AB166" s="188"/>
      <c r="AC166" s="188"/>
      <c r="AD166" s="188"/>
      <c r="AE166" s="189"/>
    </row>
    <row r="167" spans="1:38" ht="15" customHeight="1">
      <c r="A167" s="1319"/>
      <c r="B167" s="1320"/>
      <c r="C167" s="1320"/>
      <c r="D167" s="1325" t="s">
        <v>1291</v>
      </c>
      <c r="E167" s="1326"/>
      <c r="F167" s="1326"/>
      <c r="G167" s="1326"/>
      <c r="H167" s="1326"/>
      <c r="I167" s="1326"/>
      <c r="J167" s="1326"/>
      <c r="K167" s="1326"/>
      <c r="L167" s="1326"/>
      <c r="M167" s="1326"/>
      <c r="N167" s="1326"/>
      <c r="O167" s="1326"/>
      <c r="P167" s="1326"/>
      <c r="Q167" s="1326"/>
      <c r="R167" s="1326"/>
      <c r="S167" s="1326"/>
      <c r="T167" s="1326"/>
      <c r="U167" s="1326"/>
      <c r="V167" s="1327"/>
      <c r="W167" s="1327"/>
      <c r="X167" s="1327"/>
      <c r="Y167" s="1323"/>
      <c r="Z167" s="1324"/>
      <c r="AA167" s="1324"/>
      <c r="AB167" s="1328" t="s">
        <v>1255</v>
      </c>
      <c r="AC167" s="1322"/>
      <c r="AD167" s="1322"/>
      <c r="AE167" s="1329"/>
    </row>
    <row r="168" spans="1:38" ht="60" customHeight="1" thickBot="1">
      <c r="A168" s="1319"/>
      <c r="B168" s="1320"/>
      <c r="C168" s="1320"/>
      <c r="D168" s="1332" t="s">
        <v>45</v>
      </c>
      <c r="E168" s="1333"/>
      <c r="F168" s="1334"/>
      <c r="G168" s="1332" t="s">
        <v>47</v>
      </c>
      <c r="H168" s="1333"/>
      <c r="I168" s="1334"/>
      <c r="J168" s="1332" t="s">
        <v>1256</v>
      </c>
      <c r="K168" s="1333"/>
      <c r="L168" s="1334"/>
      <c r="M168" s="1332" t="s">
        <v>48</v>
      </c>
      <c r="N168" s="1333"/>
      <c r="O168" s="1334"/>
      <c r="P168" s="1332" t="s">
        <v>46</v>
      </c>
      <c r="Q168" s="1333"/>
      <c r="R168" s="1334"/>
      <c r="S168" s="1332" t="s">
        <v>110</v>
      </c>
      <c r="T168" s="1333"/>
      <c r="U168" s="1333"/>
      <c r="V168" s="1335" t="s">
        <v>1257</v>
      </c>
      <c r="W168" s="1336"/>
      <c r="X168" s="1337"/>
      <c r="Y168" s="1323"/>
      <c r="Z168" s="1324"/>
      <c r="AA168" s="1324"/>
      <c r="AB168" s="1330"/>
      <c r="AC168" s="1324"/>
      <c r="AD168" s="1324"/>
      <c r="AE168" s="1331"/>
    </row>
    <row r="169" spans="1:38" ht="30" customHeight="1" thickBot="1">
      <c r="A169" s="997"/>
      <c r="B169" s="998"/>
      <c r="C169" s="190" t="s">
        <v>17</v>
      </c>
      <c r="D169" s="977"/>
      <c r="E169" s="978"/>
      <c r="F169" s="191" t="s">
        <v>17</v>
      </c>
      <c r="G169" s="977"/>
      <c r="H169" s="978"/>
      <c r="I169" s="191" t="s">
        <v>17</v>
      </c>
      <c r="J169" s="977"/>
      <c r="K169" s="978"/>
      <c r="L169" s="191" t="s">
        <v>17</v>
      </c>
      <c r="M169" s="977"/>
      <c r="N169" s="978"/>
      <c r="O169" s="191" t="s">
        <v>17</v>
      </c>
      <c r="P169" s="977"/>
      <c r="Q169" s="978"/>
      <c r="R169" s="191" t="s">
        <v>17</v>
      </c>
      <c r="S169" s="977"/>
      <c r="T169" s="978"/>
      <c r="U169" s="192" t="s">
        <v>17</v>
      </c>
      <c r="V169" s="979">
        <f>D169+G169+J169+M169+P169+S169</f>
        <v>0</v>
      </c>
      <c r="W169" s="980"/>
      <c r="X169" s="193" t="s">
        <v>17</v>
      </c>
      <c r="Y169" s="981"/>
      <c r="Z169" s="982"/>
      <c r="AA169" s="194" t="s">
        <v>372</v>
      </c>
      <c r="AB169" s="981"/>
      <c r="AC169" s="982"/>
      <c r="AD169" s="195" t="s">
        <v>17</v>
      </c>
      <c r="AE169" s="196"/>
      <c r="AF169" s="606" t="str">
        <f>IF(A169="","←「令和７年４月１日現在」の在籍生徒数が未記入です",
IF(COUNTA(D169,G169,J169,M169,P169,S169)&lt;6,"←中途退学者等（A）の内訳が未記入です。該当者がいない場合は「0」と記入してください",
IF(A169&lt;V169,"←（A）が在籍生徒数を上回っています",
IF(Y169="","←（B）が未記入です（該当者がいない場合は「0」と記入してください）",
IF(V169&lt;Y169,"←（B）が（A）を上回っています",
IF(AND(AG169=1,AB169=""),"←自校設置の通信制課程への転籍者数が未記入です（該当者がいない場合は「0」と記入してください）",
IF(AND(AG169=1,Y169&lt;AB169),"←自校設置の通信制課程への転籍者数が（B）を上回っています","")))))))</f>
        <v>←「令和７年４月１日現在」の在籍生徒数が未記入です</v>
      </c>
      <c r="AG169" s="230" t="str">
        <f>IF(AND(OR(Z9="定/通信制",Z9="全/定/通",Z9="定/通/専",Z9="全/定/通/専"),Z10="↑④に変更がある場合は選択"),1,
IF(OR(Z10="定/通信制",Z10="全/定/通",Z10="定/通/専",Z10="全/定/通/専"),1,""))</f>
        <v/>
      </c>
      <c r="AH169" s="241"/>
    </row>
    <row r="170" spans="1:38" ht="14.25" customHeight="1">
      <c r="A170" s="965" t="s">
        <v>122</v>
      </c>
      <c r="B170" s="965"/>
      <c r="C170" s="965"/>
      <c r="D170" s="965"/>
      <c r="E170" s="965"/>
      <c r="F170" s="965"/>
      <c r="G170" s="965"/>
      <c r="H170" s="965"/>
      <c r="I170" s="965"/>
      <c r="J170" s="965"/>
      <c r="K170" s="965"/>
      <c r="L170" s="965"/>
      <c r="M170" s="965"/>
      <c r="N170" s="965"/>
      <c r="O170" s="965"/>
      <c r="P170" s="965"/>
      <c r="Q170" s="965"/>
      <c r="R170" s="965"/>
      <c r="S170" s="965"/>
      <c r="T170" s="965"/>
      <c r="U170" s="965"/>
      <c r="V170" s="965"/>
      <c r="W170" s="965"/>
      <c r="X170" s="965"/>
      <c r="Y170" s="965"/>
      <c r="Z170" s="965"/>
      <c r="AA170" s="965"/>
      <c r="AB170" s="965"/>
      <c r="AC170" s="965"/>
      <c r="AD170" s="965"/>
      <c r="AE170" s="965"/>
    </row>
    <row r="171" spans="1:38" ht="5.0999999999999996" customHeight="1">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row>
    <row r="172" spans="1:38" ht="5.0999999999999996" customHeight="1">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row>
    <row r="173" spans="1:38" ht="5.0999999999999996" customHeight="1">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row>
    <row r="174" spans="1:38" s="42" customFormat="1" ht="18.75" customHeight="1">
      <c r="A174" s="52" t="s">
        <v>383</v>
      </c>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227"/>
      <c r="AG174" s="39"/>
      <c r="AH174" s="39"/>
      <c r="AI174" s="39"/>
      <c r="AJ174" s="39"/>
      <c r="AK174" s="39"/>
      <c r="AL174" s="39"/>
    </row>
    <row r="175" spans="1:38" s="42" customFormat="1" ht="13.5" customHeight="1">
      <c r="A175" s="966" t="s">
        <v>1292</v>
      </c>
      <c r="B175" s="967"/>
      <c r="C175" s="967"/>
      <c r="D175" s="967"/>
      <c r="E175" s="967"/>
      <c r="F175" s="54"/>
      <c r="G175" s="55"/>
      <c r="H175" s="55"/>
      <c r="I175" s="55"/>
      <c r="J175" s="55"/>
      <c r="K175" s="54"/>
      <c r="L175" s="54"/>
      <c r="M175" s="56"/>
      <c r="N175" s="56"/>
      <c r="O175" s="54"/>
      <c r="P175" s="54"/>
      <c r="Q175" s="57"/>
      <c r="R175" s="970" t="s">
        <v>384</v>
      </c>
      <c r="S175" s="971"/>
      <c r="T175" s="972" t="s">
        <v>370</v>
      </c>
      <c r="U175" s="972"/>
      <c r="V175" s="972"/>
      <c r="W175" s="972"/>
      <c r="X175" s="972"/>
      <c r="Y175" s="972"/>
      <c r="Z175" s="972"/>
      <c r="AA175" s="972"/>
      <c r="AB175" s="972"/>
      <c r="AC175" s="972"/>
      <c r="AD175" s="972"/>
      <c r="AE175" s="972"/>
      <c r="AF175" s="227"/>
      <c r="AG175" s="39"/>
      <c r="AH175" s="39"/>
      <c r="AI175" s="39"/>
      <c r="AJ175" s="39"/>
      <c r="AK175" s="39"/>
      <c r="AL175" s="39"/>
    </row>
    <row r="176" spans="1:38" s="42" customFormat="1" ht="6.75" customHeight="1">
      <c r="A176" s="968"/>
      <c r="B176" s="969"/>
      <c r="C176" s="969"/>
      <c r="D176" s="969"/>
      <c r="E176" s="969"/>
      <c r="F176" s="58"/>
      <c r="G176" s="59"/>
      <c r="H176" s="973" t="s">
        <v>121</v>
      </c>
      <c r="I176" s="973"/>
      <c r="J176" s="973"/>
      <c r="K176" s="973"/>
      <c r="L176" s="973"/>
      <c r="M176" s="60"/>
      <c r="N176" s="60"/>
      <c r="O176" s="61"/>
      <c r="P176" s="61"/>
      <c r="Q176" s="62"/>
      <c r="R176" s="63"/>
      <c r="S176" s="63"/>
      <c r="T176" s="972"/>
      <c r="U176" s="972"/>
      <c r="V176" s="972"/>
      <c r="W176" s="972"/>
      <c r="X176" s="972"/>
      <c r="Y176" s="972"/>
      <c r="Z176" s="972"/>
      <c r="AA176" s="972"/>
      <c r="AB176" s="972"/>
      <c r="AC176" s="972"/>
      <c r="AD176" s="972"/>
      <c r="AE176" s="972"/>
      <c r="AF176" s="227"/>
      <c r="AG176" s="39"/>
      <c r="AH176" s="39"/>
      <c r="AI176" s="39"/>
      <c r="AJ176" s="39"/>
      <c r="AK176" s="39"/>
      <c r="AL176" s="39"/>
    </row>
    <row r="177" spans="1:38" s="42" customFormat="1" ht="39" customHeight="1" thickBot="1">
      <c r="A177" s="968"/>
      <c r="B177" s="969"/>
      <c r="C177" s="969"/>
      <c r="D177" s="969"/>
      <c r="E177" s="969"/>
      <c r="F177" s="58"/>
      <c r="G177" s="59"/>
      <c r="H177" s="973"/>
      <c r="I177" s="973"/>
      <c r="J177" s="973"/>
      <c r="K177" s="973"/>
      <c r="L177" s="973"/>
      <c r="M177" s="974" t="s">
        <v>385</v>
      </c>
      <c r="N177" s="975"/>
      <c r="O177" s="975"/>
      <c r="P177" s="975"/>
      <c r="Q177" s="976"/>
      <c r="R177" s="63"/>
      <c r="S177" s="63"/>
      <c r="T177" s="972"/>
      <c r="U177" s="972"/>
      <c r="V177" s="972"/>
      <c r="W177" s="972"/>
      <c r="X177" s="972"/>
      <c r="Y177" s="972"/>
      <c r="Z177" s="972"/>
      <c r="AA177" s="972"/>
      <c r="AB177" s="972"/>
      <c r="AC177" s="972"/>
      <c r="AD177" s="972"/>
      <c r="AE177" s="972"/>
      <c r="AF177" s="227"/>
      <c r="AG177" s="39"/>
      <c r="AH177" s="39"/>
      <c r="AI177" s="39"/>
      <c r="AJ177" s="39"/>
      <c r="AK177" s="39"/>
      <c r="AL177" s="39"/>
    </row>
    <row r="178" spans="1:38" s="42" customFormat="1" ht="18.75" customHeight="1">
      <c r="A178" s="983"/>
      <c r="B178" s="984"/>
      <c r="C178" s="984"/>
      <c r="D178" s="985"/>
      <c r="E178" s="64"/>
      <c r="F178" s="989" t="s">
        <v>386</v>
      </c>
      <c r="G178" s="989"/>
      <c r="H178" s="990"/>
      <c r="I178" s="991"/>
      <c r="J178" s="991"/>
      <c r="K178" s="992"/>
      <c r="L178" s="65" t="s">
        <v>372</v>
      </c>
      <c r="M178" s="990"/>
      <c r="N178" s="991"/>
      <c r="O178" s="991"/>
      <c r="P178" s="992"/>
      <c r="Q178" s="66" t="s">
        <v>372</v>
      </c>
      <c r="R178" s="63"/>
      <c r="S178" s="63"/>
      <c r="T178" s="972"/>
      <c r="U178" s="972"/>
      <c r="V178" s="972"/>
      <c r="W178" s="972"/>
      <c r="X178" s="972"/>
      <c r="Y178" s="972"/>
      <c r="Z178" s="972"/>
      <c r="AA178" s="972"/>
      <c r="AB178" s="972"/>
      <c r="AC178" s="972"/>
      <c r="AD178" s="972"/>
      <c r="AE178" s="972"/>
      <c r="AF178" s="1438" t="str">
        <f>IF(A178="","←「卒業者数」が未記入です。（卒業者がいない場合は「０」と記入してください。）",
IF(AND(A178&gt;0,H178=""),"←「大学への進学者数」が未記入です。（進学者がいない場合は「０」と記入してください。）",
IF(AND(A178&gt;0,H179=""),"←「短大への進学者数」が未記入です。（進学者がいない場合は「０」と記入してください。）",
IF(SUM(H178:K179)&gt;A178,"←「大学・短大への進学者数」合計が「卒業者数」を上回っています。",
IF(AND(H178&gt;0,M178=""),"←「併設・系列の大学への進学者数」が未記入です。（進学者がいない場合は「０」と記入してください。）",
IF(AND(H179&gt;0,M179=""),"←「併設・系列の短大への進学者数」が未記入です。（進学者がいない場合は「０」と記入してください。）",
IF(M178&gt;H178,"←「併設・系列の大学への進学者数」が「大学への進学者数」を上回っています。",
IF(M179&gt;H179,"←「併設・系列の短大への進学者数」が「短大への進学者数」を上回っています。",
""))))))))</f>
        <v>←「卒業者数」が未記入です。（卒業者がいない場合は「０」と記入してください。）</v>
      </c>
      <c r="AG178" s="39"/>
      <c r="AH178" s="39"/>
      <c r="AI178" s="39"/>
      <c r="AJ178" s="39"/>
      <c r="AK178" s="39"/>
      <c r="AL178" s="39"/>
    </row>
    <row r="179" spans="1:38" s="39" customFormat="1" ht="18.75" customHeight="1" thickBot="1">
      <c r="A179" s="986"/>
      <c r="B179" s="987"/>
      <c r="C179" s="987"/>
      <c r="D179" s="988"/>
      <c r="E179" s="67" t="s">
        <v>375</v>
      </c>
      <c r="F179" s="993" t="s">
        <v>387</v>
      </c>
      <c r="G179" s="993"/>
      <c r="H179" s="994"/>
      <c r="I179" s="995"/>
      <c r="J179" s="995"/>
      <c r="K179" s="996"/>
      <c r="L179" s="68" t="s">
        <v>372</v>
      </c>
      <c r="M179" s="994"/>
      <c r="N179" s="995"/>
      <c r="O179" s="995"/>
      <c r="P179" s="996"/>
      <c r="Q179" s="69" t="s">
        <v>372</v>
      </c>
      <c r="R179" s="44"/>
      <c r="S179" s="44"/>
      <c r="T179" s="972"/>
      <c r="U179" s="972"/>
      <c r="V179" s="972"/>
      <c r="W179" s="972"/>
      <c r="X179" s="972"/>
      <c r="Y179" s="972"/>
      <c r="Z179" s="972"/>
      <c r="AA179" s="972"/>
      <c r="AB179" s="972"/>
      <c r="AC179" s="972"/>
      <c r="AD179" s="972"/>
      <c r="AE179" s="972"/>
      <c r="AF179" s="1438"/>
    </row>
    <row r="180" spans="1:38" ht="5.0999999999999996"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row>
    <row r="181" spans="1:38" ht="5.0999999999999996" customHeight="1">
      <c r="A181" s="1338"/>
      <c r="B181" s="1338"/>
      <c r="C181" s="1338"/>
      <c r="D181" s="1338"/>
      <c r="E181" s="1338"/>
      <c r="F181" s="1338"/>
      <c r="G181" s="1338"/>
      <c r="H181" s="1338"/>
      <c r="I181" s="1338"/>
      <c r="J181" s="1338"/>
      <c r="K181" s="1338"/>
      <c r="L181" s="1338"/>
      <c r="M181" s="1338"/>
      <c r="N181" s="1338"/>
      <c r="O181" s="1338"/>
      <c r="P181" s="1338"/>
      <c r="Q181" s="1338"/>
      <c r="R181" s="1338"/>
      <c r="S181" s="1338"/>
      <c r="T181" s="1338"/>
      <c r="U181" s="1338"/>
      <c r="V181" s="1338"/>
      <c r="W181" s="1338"/>
      <c r="X181" s="1338"/>
      <c r="Y181" s="1338"/>
      <c r="Z181" s="1338"/>
      <c r="AA181" s="1338"/>
      <c r="AB181" s="1338"/>
      <c r="AC181" s="1338"/>
      <c r="AD181" s="1338"/>
      <c r="AE181" s="1338"/>
    </row>
    <row r="207" ht="13.5"/>
    <row r="552" spans="33:38" ht="15" customHeight="1">
      <c r="AG552" s="231" t="s">
        <v>1298</v>
      </c>
      <c r="AH552" s="232" t="s">
        <v>1299</v>
      </c>
      <c r="AI552" s="233" t="s">
        <v>1300</v>
      </c>
      <c r="AJ552" s="234" t="s">
        <v>1303</v>
      </c>
      <c r="AK552" s="235" t="s">
        <v>1301</v>
      </c>
      <c r="AL552" s="236" t="s">
        <v>1302</v>
      </c>
    </row>
    <row r="553" spans="33:38" ht="15" customHeight="1">
      <c r="AG553" s="237" t="s">
        <v>112</v>
      </c>
      <c r="AH553" s="237" t="s">
        <v>1304</v>
      </c>
      <c r="AI553" s="237" t="s">
        <v>1315</v>
      </c>
      <c r="AJ553" s="237">
        <v>7100004</v>
      </c>
      <c r="AK553" s="237" t="s">
        <v>1305</v>
      </c>
      <c r="AL553" s="237" t="s">
        <v>1306</v>
      </c>
    </row>
    <row r="554" spans="33:38" ht="15" customHeight="1">
      <c r="AG554" s="237" t="s">
        <v>1310</v>
      </c>
      <c r="AH554" s="237" t="s">
        <v>210</v>
      </c>
      <c r="AI554" s="237" t="s">
        <v>1316</v>
      </c>
      <c r="AJ554" s="237">
        <v>7401011</v>
      </c>
      <c r="AK554" s="237" t="s">
        <v>1305</v>
      </c>
      <c r="AL554" s="237" t="s">
        <v>1307</v>
      </c>
    </row>
    <row r="555" spans="33:38" ht="15" customHeight="1">
      <c r="AG555" s="237" t="s">
        <v>1310</v>
      </c>
      <c r="AH555" s="237" t="s">
        <v>67</v>
      </c>
      <c r="AI555" s="237" t="s">
        <v>1317</v>
      </c>
      <c r="AJ555" s="237">
        <v>7405007</v>
      </c>
      <c r="AK555" s="237" t="s">
        <v>1305</v>
      </c>
      <c r="AL555" s="237" t="s">
        <v>1306</v>
      </c>
    </row>
    <row r="556" spans="33:38" ht="15" customHeight="1">
      <c r="AG556" s="237" t="s">
        <v>1310</v>
      </c>
      <c r="AH556" s="237" t="s">
        <v>66</v>
      </c>
      <c r="AI556" s="237" t="s">
        <v>1318</v>
      </c>
      <c r="AJ556" s="237">
        <v>7408006</v>
      </c>
      <c r="AK556" s="237" t="s">
        <v>1305</v>
      </c>
      <c r="AL556" s="237" t="s">
        <v>1306</v>
      </c>
    </row>
    <row r="557" spans="33:38" ht="15" customHeight="1">
      <c r="AG557" s="237" t="s">
        <v>1311</v>
      </c>
      <c r="AH557" s="237" t="s">
        <v>216</v>
      </c>
      <c r="AI557" s="237" t="s">
        <v>1319</v>
      </c>
      <c r="AJ557" s="237">
        <v>7503006</v>
      </c>
      <c r="AK557" s="237" t="s">
        <v>1305</v>
      </c>
      <c r="AL557" s="237" t="s">
        <v>1307</v>
      </c>
    </row>
    <row r="558" spans="33:38" ht="15" customHeight="1">
      <c r="AG558" s="237" t="s">
        <v>1312</v>
      </c>
      <c r="AH558" s="237" t="s">
        <v>63</v>
      </c>
      <c r="AI558" s="237" t="s">
        <v>1320</v>
      </c>
      <c r="AJ558" s="237">
        <v>7601006</v>
      </c>
      <c r="AK558" s="237" t="s">
        <v>1305</v>
      </c>
      <c r="AL558" s="237" t="s">
        <v>1308</v>
      </c>
    </row>
    <row r="559" spans="33:38" ht="15" customHeight="1">
      <c r="AG559" s="237" t="s">
        <v>1313</v>
      </c>
      <c r="AH559" s="237" t="s">
        <v>68</v>
      </c>
      <c r="AI559" s="237" t="s">
        <v>1321</v>
      </c>
      <c r="AJ559" s="237">
        <v>7605006</v>
      </c>
      <c r="AK559" s="237" t="s">
        <v>1305</v>
      </c>
      <c r="AL559" s="237" t="s">
        <v>1306</v>
      </c>
    </row>
    <row r="560" spans="33:38" ht="15" customHeight="1">
      <c r="AG560" s="237" t="s">
        <v>1314</v>
      </c>
      <c r="AH560" s="237" t="s">
        <v>64</v>
      </c>
      <c r="AI560" s="237" t="s">
        <v>1322</v>
      </c>
      <c r="AJ560" s="237">
        <v>7804009</v>
      </c>
      <c r="AK560" s="237" t="s">
        <v>1305</v>
      </c>
      <c r="AL560" s="237" t="s">
        <v>1309</v>
      </c>
    </row>
  </sheetData>
  <sheetProtection algorithmName="SHA-512" hashValue="hkDUSF1hD8MHhkqqKFMDOlf/kaCyjz+OGZkbE1QJS0CPqcvU8t5TkQ1nqCdMg/L30YHz0FrOW4beE9eL/M7y8A==" saltValue="DYSwCqJXJKevM9PG6LU/jQ==" spinCount="100000" sheet="1" formatCells="0" selectLockedCells="1"/>
  <dataConsolidate/>
  <mergeCells count="520">
    <mergeCell ref="AF178:AF179"/>
    <mergeCell ref="A120:H120"/>
    <mergeCell ref="I120:N120"/>
    <mergeCell ref="O120:P120"/>
    <mergeCell ref="Q120:V120"/>
    <mergeCell ref="W120:X120"/>
    <mergeCell ref="A121:AE121"/>
    <mergeCell ref="A156:Q156"/>
    <mergeCell ref="R156:AA156"/>
    <mergeCell ref="AB156:AC156"/>
    <mergeCell ref="A151:Q151"/>
    <mergeCell ref="R151:AA151"/>
    <mergeCell ref="A153:Q153"/>
    <mergeCell ref="R153:AA153"/>
    <mergeCell ref="AB153:AC153"/>
    <mergeCell ref="A154:Q154"/>
    <mergeCell ref="R154:AA154"/>
    <mergeCell ref="AB154:AC154"/>
    <mergeCell ref="R139:AA139"/>
    <mergeCell ref="E140:Q140"/>
    <mergeCell ref="R140:AA140"/>
    <mergeCell ref="C141:Q141"/>
    <mergeCell ref="R141:AA141"/>
    <mergeCell ref="E129:Q129"/>
    <mergeCell ref="A115:H115"/>
    <mergeCell ref="I115:N115"/>
    <mergeCell ref="O115:P115"/>
    <mergeCell ref="Q115:V115"/>
    <mergeCell ref="W115:X115"/>
    <mergeCell ref="A116:H116"/>
    <mergeCell ref="I116:N116"/>
    <mergeCell ref="O116:P116"/>
    <mergeCell ref="AF46:AF47"/>
    <mergeCell ref="Q116:V116"/>
    <mergeCell ref="W116:X116"/>
    <mergeCell ref="I103:P103"/>
    <mergeCell ref="I105:K105"/>
    <mergeCell ref="M105:O105"/>
    <mergeCell ref="A110:H112"/>
    <mergeCell ref="I110:P112"/>
    <mergeCell ref="Q110:X112"/>
    <mergeCell ref="Y110:AB112"/>
    <mergeCell ref="A113:H113"/>
    <mergeCell ref="I113:N113"/>
    <mergeCell ref="O113:P113"/>
    <mergeCell ref="Q113:V113"/>
    <mergeCell ref="W113:X113"/>
    <mergeCell ref="A104:D104"/>
    <mergeCell ref="R129:AA129"/>
    <mergeCell ref="A117:H117"/>
    <mergeCell ref="I117:N117"/>
    <mergeCell ref="O117:P117"/>
    <mergeCell ref="Q117:V117"/>
    <mergeCell ref="W117:X117"/>
    <mergeCell ref="A118:H118"/>
    <mergeCell ref="I118:N118"/>
    <mergeCell ref="O118:P118"/>
    <mergeCell ref="Q118:V118"/>
    <mergeCell ref="W118:X118"/>
    <mergeCell ref="A125:Z125"/>
    <mergeCell ref="E131:Q131"/>
    <mergeCell ref="Z52:AA52"/>
    <mergeCell ref="Z48:AA50"/>
    <mergeCell ref="A51:C52"/>
    <mergeCell ref="D51:F52"/>
    <mergeCell ref="G51:I52"/>
    <mergeCell ref="J51:L52"/>
    <mergeCell ref="M51:O52"/>
    <mergeCell ref="P51:Q51"/>
    <mergeCell ref="R51:S51"/>
    <mergeCell ref="T51:U51"/>
    <mergeCell ref="V51:W51"/>
    <mergeCell ref="X51:Y51"/>
    <mergeCell ref="Z51:AA51"/>
    <mergeCell ref="D48:F50"/>
    <mergeCell ref="G48:I50"/>
    <mergeCell ref="R128:AA128"/>
    <mergeCell ref="E128:Q128"/>
    <mergeCell ref="R127:AA127"/>
    <mergeCell ref="P48:Q50"/>
    <mergeCell ref="R48:S50"/>
    <mergeCell ref="A98:B98"/>
    <mergeCell ref="Q114:V114"/>
    <mergeCell ref="W114:X114"/>
    <mergeCell ref="A105:C105"/>
    <mergeCell ref="A114:H114"/>
    <mergeCell ref="I114:N114"/>
    <mergeCell ref="O114:P114"/>
    <mergeCell ref="K96:M96"/>
    <mergeCell ref="O96:Q96"/>
    <mergeCell ref="S96:U96"/>
    <mergeCell ref="W96:Y96"/>
    <mergeCell ref="C95:F95"/>
    <mergeCell ref="C97:F97"/>
    <mergeCell ref="C96:F96"/>
    <mergeCell ref="W95:Y95"/>
    <mergeCell ref="G95:I95"/>
    <mergeCell ref="G96:I96"/>
    <mergeCell ref="K94:M94"/>
    <mergeCell ref="O94:Q94"/>
    <mergeCell ref="S94:U94"/>
    <mergeCell ref="A59:C60"/>
    <mergeCell ref="R59:S59"/>
    <mergeCell ref="A55:C56"/>
    <mergeCell ref="R56:S56"/>
    <mergeCell ref="J55:L56"/>
    <mergeCell ref="M55:O56"/>
    <mergeCell ref="R60:S60"/>
    <mergeCell ref="J59:L60"/>
    <mergeCell ref="M59:O60"/>
    <mergeCell ref="P60:Q60"/>
    <mergeCell ref="C81:F81"/>
    <mergeCell ref="G81:I81"/>
    <mergeCell ref="K81:M81"/>
    <mergeCell ref="O81:Q81"/>
    <mergeCell ref="S89:U89"/>
    <mergeCell ref="C88:F88"/>
    <mergeCell ref="G88:I88"/>
    <mergeCell ref="C86:F86"/>
    <mergeCell ref="G86:I86"/>
    <mergeCell ref="A80:F80"/>
    <mergeCell ref="A81:B88"/>
    <mergeCell ref="R53:S53"/>
    <mergeCell ref="R55:S55"/>
    <mergeCell ref="P53:Q53"/>
    <mergeCell ref="R57:S57"/>
    <mergeCell ref="P57:Q57"/>
    <mergeCell ref="P58:Q58"/>
    <mergeCell ref="P59:Q59"/>
    <mergeCell ref="D53:F54"/>
    <mergeCell ref="G53:I54"/>
    <mergeCell ref="J53:L54"/>
    <mergeCell ref="M53:O54"/>
    <mergeCell ref="D55:F56"/>
    <mergeCell ref="G55:I56"/>
    <mergeCell ref="G59:I60"/>
    <mergeCell ref="J57:L58"/>
    <mergeCell ref="P55:Q55"/>
    <mergeCell ref="A181:AE181"/>
    <mergeCell ref="T62:U62"/>
    <mergeCell ref="V62:W62"/>
    <mergeCell ref="X62:Y62"/>
    <mergeCell ref="Z62:AA62"/>
    <mergeCell ref="A89:B91"/>
    <mergeCell ref="C89:F89"/>
    <mergeCell ref="C90:F90"/>
    <mergeCell ref="C91:F91"/>
    <mergeCell ref="C92:F92"/>
    <mergeCell ref="C93:F93"/>
    <mergeCell ref="C94:F94"/>
    <mergeCell ref="C83:F83"/>
    <mergeCell ref="G91:I91"/>
    <mergeCell ref="G92:I92"/>
    <mergeCell ref="G89:I89"/>
    <mergeCell ref="G90:I90"/>
    <mergeCell ref="A92:B94"/>
    <mergeCell ref="C87:F87"/>
    <mergeCell ref="G87:I87"/>
    <mergeCell ref="A95:B97"/>
    <mergeCell ref="G97:I97"/>
    <mergeCell ref="K97:M97"/>
    <mergeCell ref="O97:Q97"/>
    <mergeCell ref="A165:AE165"/>
    <mergeCell ref="A166:C168"/>
    <mergeCell ref="Y166:AA168"/>
    <mergeCell ref="D167:X167"/>
    <mergeCell ref="AB167:AE168"/>
    <mergeCell ref="D168:F168"/>
    <mergeCell ref="G168:I168"/>
    <mergeCell ref="J168:L168"/>
    <mergeCell ref="M168:O168"/>
    <mergeCell ref="P168:R168"/>
    <mergeCell ref="S168:U168"/>
    <mergeCell ref="V168:X168"/>
    <mergeCell ref="R137:AA137"/>
    <mergeCell ref="I163:X163"/>
    <mergeCell ref="AA163:AE163"/>
    <mergeCell ref="A157:AE157"/>
    <mergeCell ref="C144:Q144"/>
    <mergeCell ref="R144:AA144"/>
    <mergeCell ref="A145:B148"/>
    <mergeCell ref="E145:Q145"/>
    <mergeCell ref="R145:AA145"/>
    <mergeCell ref="E146:Q146"/>
    <mergeCell ref="S146:AA146"/>
    <mergeCell ref="A142:B144"/>
    <mergeCell ref="E142:Q142"/>
    <mergeCell ref="AD146:AE150"/>
    <mergeCell ref="E147:Q147"/>
    <mergeCell ref="R147:AA147"/>
    <mergeCell ref="C148:Q148"/>
    <mergeCell ref="R148:AA148"/>
    <mergeCell ref="A149:Q149"/>
    <mergeCell ref="R149:AA149"/>
    <mergeCell ref="A150:Q150"/>
    <mergeCell ref="R150:AA150"/>
    <mergeCell ref="E139:Q139"/>
    <mergeCell ref="S136:AA136"/>
    <mergeCell ref="E138:Q138"/>
    <mergeCell ref="S138:AA138"/>
    <mergeCell ref="R130:AA130"/>
    <mergeCell ref="R142:AA142"/>
    <mergeCell ref="E143:Q143"/>
    <mergeCell ref="R143:AA143"/>
    <mergeCell ref="A126:B140"/>
    <mergeCell ref="C126:D132"/>
    <mergeCell ref="E126:Q126"/>
    <mergeCell ref="R126:AA126"/>
    <mergeCell ref="E127:Q127"/>
    <mergeCell ref="E136:Q136"/>
    <mergeCell ref="R131:AA131"/>
    <mergeCell ref="E132:Q132"/>
    <mergeCell ref="R132:AA132"/>
    <mergeCell ref="E134:Q134"/>
    <mergeCell ref="S134:AA134"/>
    <mergeCell ref="C133:D140"/>
    <mergeCell ref="E133:Q133"/>
    <mergeCell ref="R133:AA133"/>
    <mergeCell ref="E135:Q135"/>
    <mergeCell ref="R135:AA135"/>
    <mergeCell ref="E137:Q137"/>
    <mergeCell ref="G80:J80"/>
    <mergeCell ref="E130:Q130"/>
    <mergeCell ref="K91:M91"/>
    <mergeCell ref="O91:Q91"/>
    <mergeCell ref="S91:U91"/>
    <mergeCell ref="W91:Y91"/>
    <mergeCell ref="W90:Y90"/>
    <mergeCell ref="W89:Y89"/>
    <mergeCell ref="K90:M90"/>
    <mergeCell ref="O90:Q90"/>
    <mergeCell ref="S90:U90"/>
    <mergeCell ref="K89:M89"/>
    <mergeCell ref="O89:Q89"/>
    <mergeCell ref="E104:H104"/>
    <mergeCell ref="I104:L104"/>
    <mergeCell ref="M104:P104"/>
    <mergeCell ref="E105:G105"/>
    <mergeCell ref="W93:Y93"/>
    <mergeCell ref="W94:Y94"/>
    <mergeCell ref="C98:AE98"/>
    <mergeCell ref="A103:H103"/>
    <mergeCell ref="S97:U97"/>
    <mergeCell ref="G93:I93"/>
    <mergeCell ref="W97:Y97"/>
    <mergeCell ref="C82:F82"/>
    <mergeCell ref="G85:I85"/>
    <mergeCell ref="K85:M85"/>
    <mergeCell ref="O85:Q85"/>
    <mergeCell ref="S85:U85"/>
    <mergeCell ref="W85:Y85"/>
    <mergeCell ref="G83:I83"/>
    <mergeCell ref="K83:M83"/>
    <mergeCell ref="O83:Q83"/>
    <mergeCell ref="O82:Q82"/>
    <mergeCell ref="S82:U82"/>
    <mergeCell ref="K84:M84"/>
    <mergeCell ref="O84:Q84"/>
    <mergeCell ref="S84:U84"/>
    <mergeCell ref="C85:F85"/>
    <mergeCell ref="C84:F84"/>
    <mergeCell ref="G84:I84"/>
    <mergeCell ref="W82:Y82"/>
    <mergeCell ref="S83:U83"/>
    <mergeCell ref="W83:Y83"/>
    <mergeCell ref="S86:U86"/>
    <mergeCell ref="W86:Y86"/>
    <mergeCell ref="K87:M87"/>
    <mergeCell ref="O87:Q87"/>
    <mergeCell ref="O80:R80"/>
    <mergeCell ref="K80:N80"/>
    <mergeCell ref="S80:V80"/>
    <mergeCell ref="W80:Z80"/>
    <mergeCell ref="W84:Y84"/>
    <mergeCell ref="S81:U81"/>
    <mergeCell ref="AA80:AE80"/>
    <mergeCell ref="AA81:AE97"/>
    <mergeCell ref="K95:M95"/>
    <mergeCell ref="O95:Q95"/>
    <mergeCell ref="S95:U95"/>
    <mergeCell ref="W81:Y81"/>
    <mergeCell ref="G82:I82"/>
    <mergeCell ref="G94:I94"/>
    <mergeCell ref="W92:Y92"/>
    <mergeCell ref="K93:M93"/>
    <mergeCell ref="O93:Q93"/>
    <mergeCell ref="S93:U93"/>
    <mergeCell ref="K92:M92"/>
    <mergeCell ref="O92:Q92"/>
    <mergeCell ref="W88:Y88"/>
    <mergeCell ref="S92:U92"/>
    <mergeCell ref="S87:U87"/>
    <mergeCell ref="W87:Y87"/>
    <mergeCell ref="K86:M86"/>
    <mergeCell ref="K82:M82"/>
    <mergeCell ref="O88:Q88"/>
    <mergeCell ref="S88:U88"/>
    <mergeCell ref="K88:M88"/>
    <mergeCell ref="O86:Q86"/>
    <mergeCell ref="G69:J70"/>
    <mergeCell ref="K69:N70"/>
    <mergeCell ref="AC69:AE70"/>
    <mergeCell ref="W70:X70"/>
    <mergeCell ref="Z70:AA70"/>
    <mergeCell ref="W73:Y73"/>
    <mergeCell ref="G72:J72"/>
    <mergeCell ref="K72:N72"/>
    <mergeCell ref="O72:R72"/>
    <mergeCell ref="S72:V72"/>
    <mergeCell ref="W72:Y72"/>
    <mergeCell ref="K71:N71"/>
    <mergeCell ref="O71:R71"/>
    <mergeCell ref="S71:V71"/>
    <mergeCell ref="O69:R70"/>
    <mergeCell ref="S69:V70"/>
    <mergeCell ref="W69:AB69"/>
    <mergeCell ref="AC71:AE75"/>
    <mergeCell ref="Z72:AB72"/>
    <mergeCell ref="Z74:AB74"/>
    <mergeCell ref="Z75:AB75"/>
    <mergeCell ref="Z73:AB73"/>
    <mergeCell ref="W71:Y71"/>
    <mergeCell ref="G73:J73"/>
    <mergeCell ref="A71:C71"/>
    <mergeCell ref="A72:C72"/>
    <mergeCell ref="W75:Y75"/>
    <mergeCell ref="D74:E74"/>
    <mergeCell ref="G74:J74"/>
    <mergeCell ref="K74:N74"/>
    <mergeCell ref="O74:R74"/>
    <mergeCell ref="S74:V74"/>
    <mergeCell ref="W74:Y74"/>
    <mergeCell ref="D75:E75"/>
    <mergeCell ref="G75:J75"/>
    <mergeCell ref="K75:N75"/>
    <mergeCell ref="O75:R75"/>
    <mergeCell ref="D72:E72"/>
    <mergeCell ref="A75:C75"/>
    <mergeCell ref="A74:C74"/>
    <mergeCell ref="D73:E73"/>
    <mergeCell ref="A73:C73"/>
    <mergeCell ref="S73:V73"/>
    <mergeCell ref="K73:N73"/>
    <mergeCell ref="O73:R73"/>
    <mergeCell ref="S75:V75"/>
    <mergeCell ref="D61:F62"/>
    <mergeCell ref="G61:I62"/>
    <mergeCell ref="J61:L62"/>
    <mergeCell ref="Z71:AB71"/>
    <mergeCell ref="D71:E71"/>
    <mergeCell ref="G71:J71"/>
    <mergeCell ref="M61:O62"/>
    <mergeCell ref="T64:U64"/>
    <mergeCell ref="V64:W64"/>
    <mergeCell ref="R62:S62"/>
    <mergeCell ref="P61:Q61"/>
    <mergeCell ref="X64:Y64"/>
    <mergeCell ref="Z64:AA64"/>
    <mergeCell ref="T63:U63"/>
    <mergeCell ref="V63:W63"/>
    <mergeCell ref="X63:Y63"/>
    <mergeCell ref="Z63:AA63"/>
    <mergeCell ref="T61:U61"/>
    <mergeCell ref="V61:W61"/>
    <mergeCell ref="X61:Y61"/>
    <mergeCell ref="Z61:AA61"/>
    <mergeCell ref="C66:AE66"/>
    <mergeCell ref="A69:C70"/>
    <mergeCell ref="D69:F70"/>
    <mergeCell ref="A65:B65"/>
    <mergeCell ref="C65:AE65"/>
    <mergeCell ref="A61:A64"/>
    <mergeCell ref="B61:C61"/>
    <mergeCell ref="B63:C63"/>
    <mergeCell ref="R64:S64"/>
    <mergeCell ref="R63:S63"/>
    <mergeCell ref="X57:Y57"/>
    <mergeCell ref="Z57:AA57"/>
    <mergeCell ref="R61:S61"/>
    <mergeCell ref="Z58:AA58"/>
    <mergeCell ref="Z59:AA59"/>
    <mergeCell ref="A57:C58"/>
    <mergeCell ref="R58:S58"/>
    <mergeCell ref="D63:F64"/>
    <mergeCell ref="G63:I64"/>
    <mergeCell ref="J63:L64"/>
    <mergeCell ref="M63:O64"/>
    <mergeCell ref="M57:O58"/>
    <mergeCell ref="D59:F60"/>
    <mergeCell ref="P64:Q64"/>
    <mergeCell ref="P62:Q62"/>
    <mergeCell ref="P63:Q63"/>
    <mergeCell ref="X60:Y60"/>
    <mergeCell ref="V48:W50"/>
    <mergeCell ref="X48:Y50"/>
    <mergeCell ref="T53:U53"/>
    <mergeCell ref="V53:W53"/>
    <mergeCell ref="X58:Y58"/>
    <mergeCell ref="X59:Y59"/>
    <mergeCell ref="X53:Y53"/>
    <mergeCell ref="Z53:AA53"/>
    <mergeCell ref="T54:U54"/>
    <mergeCell ref="V54:W54"/>
    <mergeCell ref="X54:Y54"/>
    <mergeCell ref="Z54:AA54"/>
    <mergeCell ref="Z55:AA55"/>
    <mergeCell ref="T56:U56"/>
    <mergeCell ref="V56:W56"/>
    <mergeCell ref="T57:U57"/>
    <mergeCell ref="V57:W57"/>
    <mergeCell ref="T58:U58"/>
    <mergeCell ref="V58:W58"/>
    <mergeCell ref="T59:U59"/>
    <mergeCell ref="V59:W59"/>
    <mergeCell ref="A1:AE1"/>
    <mergeCell ref="A2:AE3"/>
    <mergeCell ref="A4:AE5"/>
    <mergeCell ref="B8:E8"/>
    <mergeCell ref="G8:T8"/>
    <mergeCell ref="V8:Y8"/>
    <mergeCell ref="Z8:AE8"/>
    <mergeCell ref="B9:E11"/>
    <mergeCell ref="G9:T10"/>
    <mergeCell ref="V9:Y10"/>
    <mergeCell ref="Z9:AE9"/>
    <mergeCell ref="Z10:AE10"/>
    <mergeCell ref="G11:H11"/>
    <mergeCell ref="I11:T11"/>
    <mergeCell ref="AB11:AE11"/>
    <mergeCell ref="A15:AE15"/>
    <mergeCell ref="F16:P16"/>
    <mergeCell ref="B20:AD20"/>
    <mergeCell ref="B21:AD21"/>
    <mergeCell ref="B22:AD23"/>
    <mergeCell ref="A29:C29"/>
    <mergeCell ref="D29:P29"/>
    <mergeCell ref="Q29:S29"/>
    <mergeCell ref="T29:AE29"/>
    <mergeCell ref="A16:C18"/>
    <mergeCell ref="D16:E16"/>
    <mergeCell ref="A25:AE25"/>
    <mergeCell ref="A26:C26"/>
    <mergeCell ref="D26:AE26"/>
    <mergeCell ref="A27:C27"/>
    <mergeCell ref="D27:P27"/>
    <mergeCell ref="Q27:S27"/>
    <mergeCell ref="T27:AE27"/>
    <mergeCell ref="Q16:S16"/>
    <mergeCell ref="T16:AE16"/>
    <mergeCell ref="R52:S52"/>
    <mergeCell ref="T52:U52"/>
    <mergeCell ref="V52:W52"/>
    <mergeCell ref="X52:Y52"/>
    <mergeCell ref="X55:Y55"/>
    <mergeCell ref="T55:U55"/>
    <mergeCell ref="V55:W55"/>
    <mergeCell ref="D17:E17"/>
    <mergeCell ref="F17:P17"/>
    <mergeCell ref="Q17:S18"/>
    <mergeCell ref="T17:AE18"/>
    <mergeCell ref="D18:E18"/>
    <mergeCell ref="F18:P18"/>
    <mergeCell ref="M48:O50"/>
    <mergeCell ref="A32:AE32"/>
    <mergeCell ref="P47:AA47"/>
    <mergeCell ref="A33:B33"/>
    <mergeCell ref="C33:AE34"/>
    <mergeCell ref="A34:B34"/>
    <mergeCell ref="J48:L50"/>
    <mergeCell ref="P54:Q54"/>
    <mergeCell ref="A53:C54"/>
    <mergeCell ref="R54:S54"/>
    <mergeCell ref="T48:U50"/>
    <mergeCell ref="A170:AE170"/>
    <mergeCell ref="A175:E177"/>
    <mergeCell ref="R175:S175"/>
    <mergeCell ref="T175:AE179"/>
    <mergeCell ref="H176:L177"/>
    <mergeCell ref="M177:Q177"/>
    <mergeCell ref="P169:Q169"/>
    <mergeCell ref="S169:T169"/>
    <mergeCell ref="V169:W169"/>
    <mergeCell ref="Y169:Z169"/>
    <mergeCell ref="AB169:AC169"/>
    <mergeCell ref="A178:D179"/>
    <mergeCell ref="F178:G178"/>
    <mergeCell ref="H178:K178"/>
    <mergeCell ref="M178:P178"/>
    <mergeCell ref="F179:G179"/>
    <mergeCell ref="H179:K179"/>
    <mergeCell ref="M179:P179"/>
    <mergeCell ref="A169:B169"/>
    <mergeCell ref="D169:E169"/>
    <mergeCell ref="G169:H169"/>
    <mergeCell ref="J169:K169"/>
    <mergeCell ref="M169:N169"/>
    <mergeCell ref="Z60:AA60"/>
    <mergeCell ref="V60:W60"/>
    <mergeCell ref="D57:F58"/>
    <mergeCell ref="G57:I58"/>
    <mergeCell ref="AF79:AF80"/>
    <mergeCell ref="AF69:AF70"/>
    <mergeCell ref="AG69:AG70"/>
    <mergeCell ref="AG38:AG40"/>
    <mergeCell ref="AF48:AF50"/>
    <mergeCell ref="C38:R40"/>
    <mergeCell ref="V38:AD38"/>
    <mergeCell ref="V39:X40"/>
    <mergeCell ref="Y40:AA40"/>
    <mergeCell ref="AB40:AD40"/>
    <mergeCell ref="V41:W42"/>
    <mergeCell ref="Y41:Z42"/>
    <mergeCell ref="AB41:AC42"/>
    <mergeCell ref="A47:C50"/>
    <mergeCell ref="D47:O47"/>
    <mergeCell ref="Z56:AA56"/>
    <mergeCell ref="T60:U60"/>
    <mergeCell ref="P56:Q56"/>
    <mergeCell ref="X56:Y56"/>
    <mergeCell ref="P52:Q52"/>
  </mergeCells>
  <phoneticPr fontId="15"/>
  <conditionalFormatting sqref="A34:B34">
    <cfRule type="containsBlanks" dxfId="194" priority="63">
      <formula>LEN(TRIM(A34))=0</formula>
    </cfRule>
  </conditionalFormatting>
  <conditionalFormatting sqref="A105:C105 E105:G105 I105:K105 M105:O105">
    <cfRule type="containsBlanks" dxfId="193" priority="54">
      <formula>LEN(TRIM(A105))=0</formula>
    </cfRule>
  </conditionalFormatting>
  <conditionalFormatting sqref="A178:D179 H178:K179">
    <cfRule type="containsBlanks" dxfId="192" priority="57">
      <formula>LEN(TRIM(A178))=0</formula>
    </cfRule>
  </conditionalFormatting>
  <conditionalFormatting sqref="A25:AE37">
    <cfRule type="expression" dxfId="191" priority="30">
      <formula>$AB$11="有"</formula>
    </cfRule>
  </conditionalFormatting>
  <conditionalFormatting sqref="A38:AE40 A41:Y41 AA41:AE42 A42:X42 A43:AE161">
    <cfRule type="expression" dxfId="190" priority="2">
      <formula>$AG$38="本票回答不要"</formula>
    </cfRule>
  </conditionalFormatting>
  <conditionalFormatting sqref="A47:AE122">
    <cfRule type="expression" dxfId="189" priority="3">
      <formula>$AG$38="本票Ⅰ生徒数・Ⅵ回答必要"</formula>
    </cfRule>
  </conditionalFormatting>
  <conditionalFormatting sqref="A47:AE161">
    <cfRule type="expression" dxfId="188" priority="4">
      <formula>$AG$38="本票Ⅰ生徒数のみ回答必要"</formula>
    </cfRule>
  </conditionalFormatting>
  <conditionalFormatting sqref="A156:AE157">
    <cfRule type="expression" dxfId="187" priority="37">
      <formula>$R$156=""</formula>
    </cfRule>
  </conditionalFormatting>
  <conditionalFormatting sqref="B9:E11">
    <cfRule type="expression" dxfId="186" priority="36">
      <formula>OR($B$9="最初に選択してください",$B$9="")</formula>
    </cfRule>
  </conditionalFormatting>
  <conditionalFormatting sqref="D53:O64 R53:Y64 B61:C61 B63:C63">
    <cfRule type="containsBlanks" dxfId="185" priority="28">
      <formula>LEN(TRIM(B53))=0</formula>
    </cfRule>
  </conditionalFormatting>
  <conditionalFormatting sqref="D26:AE26 D27:P27 D29:P29 T29:AE29">
    <cfRule type="containsBlanks" dxfId="184" priority="66">
      <formula>LEN(TRIM(D26))=0</formula>
    </cfRule>
  </conditionalFormatting>
  <conditionalFormatting sqref="F16:P18 T16:AE18">
    <cfRule type="containsBlanks" dxfId="183" priority="68">
      <formula>LEN(TRIM(F16))=0</formula>
    </cfRule>
  </conditionalFormatting>
  <conditionalFormatting sqref="G81:I87 G89:I90 G92:I93 G95:I96">
    <cfRule type="expression" dxfId="182" priority="17">
      <formula>AND($AG$53&gt;0,$G81="")</formula>
    </cfRule>
  </conditionalFormatting>
  <conditionalFormatting sqref="G72:J75">
    <cfRule type="expression" dxfId="181" priority="27">
      <formula>AND($AG$53&gt;0,$G72="")</formula>
    </cfRule>
  </conditionalFormatting>
  <conditionalFormatting sqref="G9:T10">
    <cfRule type="containsBlanks" dxfId="180" priority="34">
      <formula>LEN(TRIM(G9))=0</formula>
    </cfRule>
  </conditionalFormatting>
  <conditionalFormatting sqref="G9:T11 Z10:AE10">
    <cfRule type="expression" dxfId="179" priority="32">
      <formula>OR($B$9="最初に選択してください",$B$9="")</formula>
    </cfRule>
  </conditionalFormatting>
  <conditionalFormatting sqref="I113:N117 Q113:V117">
    <cfRule type="containsBlanks" dxfId="178" priority="52">
      <formula>LEN(TRIM(I113))=0</formula>
    </cfRule>
  </conditionalFormatting>
  <conditionalFormatting sqref="I120:P120">
    <cfRule type="expression" dxfId="177" priority="46">
      <formula>$I$120=""</formula>
    </cfRule>
  </conditionalFormatting>
  <conditionalFormatting sqref="I120:X120">
    <cfRule type="expression" dxfId="176" priority="50">
      <formula>$AG$47="本票回答不要"</formula>
    </cfRule>
    <cfRule type="expression" dxfId="175" priority="49">
      <formula>$AG$47="本票Ⅰ生徒数のみ回答必要"</formula>
    </cfRule>
    <cfRule type="expression" dxfId="174" priority="48">
      <formula>$AG$47="本票Ⅵのみ回答必要"</formula>
    </cfRule>
    <cfRule type="expression" dxfId="173" priority="47">
      <formula>$AG$47="本票Ⅰ生徒数・Ⅵ回答必要"</formula>
    </cfRule>
  </conditionalFormatting>
  <conditionalFormatting sqref="K81:M87 K89:M90 K92:M93 K95:M96">
    <cfRule type="expression" dxfId="172" priority="16">
      <formula>AND($AG$55&gt;0,$K81="")</formula>
    </cfRule>
  </conditionalFormatting>
  <conditionalFormatting sqref="K72:N75">
    <cfRule type="expression" dxfId="171" priority="25">
      <formula>AND($AG$55&gt;0,$K72="")</formula>
    </cfRule>
  </conditionalFormatting>
  <conditionalFormatting sqref="M178:P179">
    <cfRule type="containsBlanks" dxfId="170" priority="56">
      <formula>LEN(TRIM(M178))=0</formula>
    </cfRule>
  </conditionalFormatting>
  <conditionalFormatting sqref="M178:Q179">
    <cfRule type="expression" dxfId="169" priority="55">
      <formula>OR($H178="",$H178=0)</formula>
    </cfRule>
  </conditionalFormatting>
  <conditionalFormatting sqref="O81:Q87 O89:Q90 O92:Q93 O95:Q96">
    <cfRule type="expression" dxfId="168" priority="15">
      <formula>AND($AG$57&gt;0,$O81="")</formula>
    </cfRule>
  </conditionalFormatting>
  <conditionalFormatting sqref="O72:R75">
    <cfRule type="expression" dxfId="167" priority="23">
      <formula>AND($AG$57&gt;0,$O72="")</formula>
    </cfRule>
  </conditionalFormatting>
  <conditionalFormatting sqref="Q120:X120">
    <cfRule type="expression" dxfId="166" priority="45">
      <formula>$Q$120=""</formula>
    </cfRule>
  </conditionalFormatting>
  <conditionalFormatting sqref="R126:AA131 R133:AA133 S134:AA134 R135:AA135 S136:AA136 R137:AA137 S138:AA138 R139:AA139">
    <cfRule type="containsBlanks" dxfId="165" priority="42">
      <formula>LEN(TRIM(R126))=0</formula>
    </cfRule>
  </conditionalFormatting>
  <conditionalFormatting sqref="R142:AA143 R145:AA145 S146:AA146 R147:AA147 R150:AA150">
    <cfRule type="containsBlanks" dxfId="164" priority="41">
      <formula>LEN(TRIM(R142))=0</formula>
    </cfRule>
  </conditionalFormatting>
  <conditionalFormatting sqref="S81:U87 S89:U90 S92:U93 S95:U96">
    <cfRule type="expression" dxfId="163" priority="14">
      <formula>AND($AG$59&gt;0,$S81="")</formula>
    </cfRule>
  </conditionalFormatting>
  <conditionalFormatting sqref="S72:V75">
    <cfRule type="expression" dxfId="162" priority="22">
      <formula>AND($AG$59&gt;0,$S72="")</formula>
    </cfRule>
  </conditionalFormatting>
  <conditionalFormatting sqref="T27:AE27">
    <cfRule type="containsBlanks" dxfId="161" priority="65">
      <formula>LEN(TRIM(T27))=0</formula>
    </cfRule>
  </conditionalFormatting>
  <conditionalFormatting sqref="V38:AE40 V41:Y41 AA41:AE42 V42:X42 V43:AE122 A46:U122">
    <cfRule type="expression" dxfId="160" priority="1">
      <formula>$AG$38="本票Ⅵのみ回答必要"</formula>
    </cfRule>
  </conditionalFormatting>
  <conditionalFormatting sqref="W70:X70 W72:Y75">
    <cfRule type="expression" dxfId="159" priority="19">
      <formula>AND($AG$61&gt;0,$W70="")</formula>
    </cfRule>
  </conditionalFormatting>
  <conditionalFormatting sqref="W81:Y87 W89:Y90 W92:Y93 W95:Y96">
    <cfRule type="expression" dxfId="158" priority="5">
      <formula>AND(SUM($AG$61:$AG$63)&gt;0,$W81="")</formula>
    </cfRule>
  </conditionalFormatting>
  <conditionalFormatting sqref="Y41 AB41:AC42">
    <cfRule type="containsBlanks" dxfId="157" priority="29">
      <formula>LEN(TRIM(Y41))=0</formula>
    </cfRule>
  </conditionalFormatting>
  <conditionalFormatting sqref="Y41:Z42 AB41:AC42">
    <cfRule type="expression" dxfId="156" priority="26">
      <formula>AND($AG$9&gt;0,Y$41="")</formula>
    </cfRule>
  </conditionalFormatting>
  <conditionalFormatting sqref="Z70:AA70 Z72:AB75">
    <cfRule type="expression" dxfId="155" priority="18">
      <formula>AND($AG$63&gt;0,$Z70="")</formula>
    </cfRule>
  </conditionalFormatting>
  <conditionalFormatting sqref="Z10:AE10">
    <cfRule type="expression" dxfId="154" priority="33">
      <formula>OR($Z$10="↑④に変更がある場合は選択",$Z$10="")</formula>
    </cfRule>
  </conditionalFormatting>
  <conditionalFormatting sqref="AB169:AC169 A169:B169 D169:E169 G169:H169 J169:K169 M169:N169 P169:Q169 S169:T169 Y169:Z169">
    <cfRule type="containsBlanks" dxfId="153" priority="61">
      <formula>LEN(TRIM(A169))=0</formula>
    </cfRule>
  </conditionalFormatting>
  <conditionalFormatting sqref="AB167:AE169">
    <cfRule type="expression" dxfId="152" priority="59">
      <formula>$AG$169=""</formula>
    </cfRule>
  </conditionalFormatting>
  <conditionalFormatting sqref="AF1:AF7 AF12:AF15 AF19:AF25 AF30:AF33 AF35:AF41 AF43:AF45 AF65:AF69 AF76:AF78 AF98:AF104 AF106:AF112 AF122:AF125 AF158:AF168 AF170:AF177 AF180:AF1048576">
    <cfRule type="notContainsBlanks" dxfId="151" priority="70">
      <formula>LEN(TRIM(AF1))&gt;0</formula>
    </cfRule>
  </conditionalFormatting>
  <conditionalFormatting sqref="AF8:AF11">
    <cfRule type="notContainsBlanks" dxfId="150" priority="35">
      <formula>LEN(TRIM(AF8))&gt;0</formula>
    </cfRule>
  </conditionalFormatting>
  <conditionalFormatting sqref="AF16:AF18">
    <cfRule type="notContainsBlanks" dxfId="149" priority="69">
      <formula>LEN(TRIM(AF16))&gt;0</formula>
    </cfRule>
  </conditionalFormatting>
  <conditionalFormatting sqref="AF26:AF29">
    <cfRule type="notContainsBlanks" dxfId="148" priority="67">
      <formula>LEN(TRIM(AF26))&gt;0</formula>
    </cfRule>
  </conditionalFormatting>
  <conditionalFormatting sqref="AF34">
    <cfRule type="notContainsBlanks" dxfId="147" priority="64">
      <formula>LEN(TRIM(AF34))&gt;0</formula>
    </cfRule>
  </conditionalFormatting>
  <conditionalFormatting sqref="AF42">
    <cfRule type="notContainsBlanks" dxfId="146" priority="24">
      <formula>LEN(TRIM(AF42))&gt;0</formula>
    </cfRule>
  </conditionalFormatting>
  <conditionalFormatting sqref="AF46">
    <cfRule type="notContainsBlanks" dxfId="145" priority="9">
      <formula>LEN(TRIM(AF46))&gt;0</formula>
    </cfRule>
  </conditionalFormatting>
  <conditionalFormatting sqref="AF48">
    <cfRule type="notContainsBlanks" dxfId="144" priority="21">
      <formula>LEN(TRIM(AF48))&gt;0</formula>
    </cfRule>
  </conditionalFormatting>
  <conditionalFormatting sqref="AF51:AF64">
    <cfRule type="notContainsBlanks" dxfId="143" priority="20">
      <formula>LEN(TRIM(AF51))&gt;0</formula>
    </cfRule>
  </conditionalFormatting>
  <conditionalFormatting sqref="AF71:AF75">
    <cfRule type="notContainsBlanks" dxfId="142" priority="11">
      <formula>LEN(TRIM(AF71))&gt;0</formula>
    </cfRule>
  </conditionalFormatting>
  <conditionalFormatting sqref="AF79">
    <cfRule type="notContainsBlanks" dxfId="141" priority="7">
      <formula>LEN(TRIM(AF79))&gt;0</formula>
    </cfRule>
  </conditionalFormatting>
  <conditionalFormatting sqref="AF81:AF97">
    <cfRule type="notContainsBlanks" dxfId="140" priority="6">
      <formula>LEN(TRIM(AF81))&gt;0</formula>
    </cfRule>
  </conditionalFormatting>
  <conditionalFormatting sqref="AF105">
    <cfRule type="notContainsBlanks" dxfId="139" priority="53">
      <formula>LEN(TRIM(AF105))&gt;0</formula>
    </cfRule>
  </conditionalFormatting>
  <conditionalFormatting sqref="AF113:AF121">
    <cfRule type="notContainsBlanks" dxfId="138" priority="44">
      <formula>LEN(TRIM(AF113))&gt;0</formula>
    </cfRule>
  </conditionalFormatting>
  <conditionalFormatting sqref="AF126:AF157">
    <cfRule type="notContainsBlanks" dxfId="137" priority="43">
      <formula>LEN(TRIM(AF126))&gt;0</formula>
    </cfRule>
  </conditionalFormatting>
  <conditionalFormatting sqref="AF169">
    <cfRule type="notContainsBlanks" dxfId="136" priority="60">
      <formula>LEN(TRIM(AF169))&gt;0</formula>
    </cfRule>
  </conditionalFormatting>
  <conditionalFormatting sqref="AF178">
    <cfRule type="notContainsBlanks" dxfId="135" priority="58">
      <formula>LEN(TRIM(AF178))&gt;0</formula>
    </cfRule>
  </conditionalFormatting>
  <conditionalFormatting sqref="AG68">
    <cfRule type="notContainsBlanks" dxfId="134" priority="8">
      <formula>LEN(TRIM(AG68))&gt;0</formula>
    </cfRule>
  </conditionalFormatting>
  <dataValidations count="6">
    <dataValidation imeMode="fullKatakana" allowBlank="1" showInputMessage="1" showErrorMessage="1" sqref="F17:P17" xr:uid="{C8353FBC-1AA7-4950-A67A-10A8099D8FAA}"/>
    <dataValidation allowBlank="1" showInputMessage="1" showErrorMessage="1" promptTitle="（！）単位は「円」です" prompt="千円単位ではなく、円単位で入力してください。" sqref="R126:AA126" xr:uid="{F917E788-D552-41EC-A350-539C6F7874AE}"/>
    <dataValidation type="list" allowBlank="1" showInputMessage="1" showErrorMessage="1" sqref="Z10:AE10" xr:uid="{6315AEE7-7FCD-439A-9C92-AAA02BDB2FB0}">
      <formula1>"↑④に変更がある場合は選択,定時制,全/定時制,定/通信制,定/専攻科,全/定/通,全/定/専,定/通/専,全/定/通/専"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4134B9BF-836D-47DF-9799-0328029DA6B3}">
      <formula1>INDIRECT($B$9)</formula1>
    </dataValidation>
    <dataValidation type="list" allowBlank="1" showInputMessage="1" showErrorMessage="1" sqref="A34:B34" xr:uid="{610C49E2-5077-44D4-A876-C963ED37503A}">
      <formula1>$AH$2:$AH$3</formula1>
    </dataValidation>
    <dataValidation type="list" allowBlank="1" showInputMessage="1" showErrorMessage="1" sqref="B9:E11" xr:uid="{98282927-707A-4A84-8619-24F2556F0AD8}">
      <formula1>$AI$2:$AI$8</formula1>
    </dataValidation>
  </dataValidations>
  <printOptions horizontalCentered="1"/>
  <pageMargins left="0.39370078740157483" right="0.39370078740157483" top="0.19685039370078741" bottom="0" header="0.39370078740157483" footer="0.11811023622047245"/>
  <pageSetup paperSize="9" scale="85" fitToWidth="0" fitToHeight="0" orientation="portrait" useFirstPageNumber="1" r:id="rId1"/>
  <headerFooter>
    <oddFooter>&amp;C&amp;"ＭＳ Ｐゴシック,標準"&amp;10&amp;P</oddFooter>
  </headerFooter>
  <rowBreaks count="3" manualBreakCount="3">
    <brk id="37" max="30" man="1"/>
    <brk id="100" max="30" man="1"/>
    <brk id="161" max="30" man="1"/>
  </rowBreaks>
  <ignoredErrors>
    <ignoredError sqref="W70 Z70 D71:E75 H71:J71 H94:J94 L91:M91 H97:J97 P94:Q94 P91:Q91 P97:Q97 T94:U94 T91:U91 T97:U97 X94:Y94 X91:Y91 X97:Y97 V169 AA51 L71:N71 P71:R71 T71:V71 X71:Y71 AA71:AB71 AA64 AA52 AA53 AA54 AA55 AA56 AA57 AA58 AA59 AA60 AA61 AA62 AA63 L94:M94 L97:M9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FE48-A1F4-4508-B5DB-52E3936A164D}">
  <sheetPr>
    <tabColor rgb="FFCCFFFF"/>
  </sheetPr>
  <dimension ref="A1:BK495"/>
  <sheetViews>
    <sheetView tabSelected="1" zoomScaleNormal="100" zoomScaleSheetLayoutView="100" workbookViewId="0">
      <selection activeCell="G9" sqref="G9:T11"/>
    </sheetView>
  </sheetViews>
  <sheetFormatPr defaultRowHeight="10.5"/>
  <cols>
    <col min="1" max="31" width="4.1640625" customWidth="1"/>
    <col min="32" max="32" width="75.83203125" customWidth="1"/>
    <col min="33" max="33" width="3.33203125" hidden="1" customWidth="1"/>
    <col min="34" max="34" width="10.6640625" hidden="1" customWidth="1"/>
    <col min="35" max="35" width="10.1640625" hidden="1" customWidth="1"/>
    <col min="36" max="36" width="10.33203125" hidden="1" customWidth="1"/>
    <col min="37" max="39" width="3.33203125" hidden="1" customWidth="1"/>
    <col min="40" max="61" width="3.33203125" customWidth="1"/>
  </cols>
  <sheetData>
    <row r="1" spans="1:37" ht="18.75">
      <c r="A1" s="1968" t="s">
        <v>1265</v>
      </c>
      <c r="B1" s="1968"/>
      <c r="C1" s="1968"/>
      <c r="D1" s="1968"/>
      <c r="E1" s="1968"/>
      <c r="F1" s="1968"/>
      <c r="G1" s="1968"/>
      <c r="H1" s="1968"/>
      <c r="I1" s="1968"/>
      <c r="J1" s="1968"/>
      <c r="K1" s="1968"/>
      <c r="L1" s="1968"/>
      <c r="M1" s="1968"/>
      <c r="N1" s="1968"/>
      <c r="O1" s="1968"/>
      <c r="P1" s="1968"/>
      <c r="Q1" s="1968"/>
      <c r="R1" s="1968"/>
      <c r="S1" s="1968"/>
      <c r="T1" s="1968"/>
      <c r="U1" s="1968"/>
      <c r="V1" s="1968"/>
      <c r="W1" s="1968"/>
      <c r="X1" s="1968"/>
      <c r="Y1" s="1968"/>
      <c r="Z1" s="1968"/>
      <c r="AA1" s="1968"/>
      <c r="AB1" s="1968"/>
      <c r="AC1" s="1968"/>
      <c r="AD1" s="1968"/>
      <c r="AE1" s="1968"/>
      <c r="AH1" s="39"/>
      <c r="AJ1" t="s">
        <v>1326</v>
      </c>
    </row>
    <row r="2" spans="1:37" ht="13.5">
      <c r="A2" s="1969" t="s">
        <v>1327</v>
      </c>
      <c r="B2" s="1969"/>
      <c r="C2" s="1969"/>
      <c r="D2" s="1969"/>
      <c r="E2" s="1969"/>
      <c r="F2" s="1969"/>
      <c r="G2" s="1969"/>
      <c r="H2" s="1969"/>
      <c r="I2" s="1969"/>
      <c r="J2" s="1969"/>
      <c r="K2" s="1969"/>
      <c r="L2" s="1969"/>
      <c r="M2" s="1969"/>
      <c r="N2" s="1969"/>
      <c r="O2" s="1969"/>
      <c r="P2" s="1969"/>
      <c r="Q2" s="1969"/>
      <c r="R2" s="1969"/>
      <c r="S2" s="1969"/>
      <c r="T2" s="1969"/>
      <c r="U2" s="1969"/>
      <c r="V2" s="1969"/>
      <c r="W2" s="1969"/>
      <c r="X2" s="1969"/>
      <c r="Y2" s="1969"/>
      <c r="Z2" s="1969"/>
      <c r="AA2" s="1969"/>
      <c r="AB2" s="1969"/>
      <c r="AC2" s="1969"/>
      <c r="AD2" s="1969"/>
      <c r="AE2" s="1969"/>
      <c r="AH2" s="39" t="s">
        <v>1293</v>
      </c>
      <c r="AI2">
        <v>1</v>
      </c>
      <c r="AJ2">
        <v>3</v>
      </c>
      <c r="AK2" t="s">
        <v>1328</v>
      </c>
    </row>
    <row r="3" spans="1:37">
      <c r="A3" s="1969"/>
      <c r="B3" s="1969"/>
      <c r="C3" s="1969"/>
      <c r="D3" s="1969"/>
      <c r="E3" s="1969"/>
      <c r="F3" s="1969"/>
      <c r="G3" s="1969"/>
      <c r="H3" s="1969"/>
      <c r="I3" s="1969"/>
      <c r="J3" s="1969"/>
      <c r="K3" s="1969"/>
      <c r="L3" s="1969"/>
      <c r="M3" s="1969"/>
      <c r="N3" s="1969"/>
      <c r="O3" s="1969"/>
      <c r="P3" s="1969"/>
      <c r="Q3" s="1969"/>
      <c r="R3" s="1969"/>
      <c r="S3" s="1969"/>
      <c r="T3" s="1969"/>
      <c r="U3" s="1969"/>
      <c r="V3" s="1969"/>
      <c r="W3" s="1969"/>
      <c r="X3" s="1969"/>
      <c r="Y3" s="1969"/>
      <c r="Z3" s="1969"/>
      <c r="AA3" s="1969"/>
      <c r="AB3" s="1969"/>
      <c r="AC3" s="1969"/>
      <c r="AD3" s="1969"/>
      <c r="AE3" s="1969"/>
      <c r="AI3">
        <v>2</v>
      </c>
      <c r="AJ3">
        <v>4</v>
      </c>
    </row>
    <row r="4" spans="1:37">
      <c r="A4" s="1970" t="s">
        <v>1329</v>
      </c>
      <c r="B4" s="1970"/>
      <c r="C4" s="1970"/>
      <c r="D4" s="1970"/>
      <c r="E4" s="1970"/>
      <c r="F4" s="1970"/>
      <c r="G4" s="1970"/>
      <c r="H4" s="1970"/>
      <c r="I4" s="1970"/>
      <c r="J4" s="1970"/>
      <c r="K4" s="1970"/>
      <c r="L4" s="1970"/>
      <c r="M4" s="1970"/>
      <c r="N4" s="1970"/>
      <c r="O4" s="1970"/>
      <c r="P4" s="1970"/>
      <c r="Q4" s="1970"/>
      <c r="R4" s="1970"/>
      <c r="S4" s="1970"/>
      <c r="T4" s="1970"/>
      <c r="U4" s="1970"/>
      <c r="V4" s="1970"/>
      <c r="W4" s="1970"/>
      <c r="X4" s="1970"/>
      <c r="Y4" s="1970"/>
      <c r="Z4" s="1970"/>
      <c r="AA4" s="1970"/>
      <c r="AB4" s="1970"/>
      <c r="AC4" s="1970"/>
      <c r="AD4" s="1970"/>
      <c r="AE4" s="1970"/>
      <c r="AI4">
        <v>3</v>
      </c>
    </row>
    <row r="5" spans="1:37">
      <c r="A5" s="1970"/>
      <c r="B5" s="1970"/>
      <c r="C5" s="1970"/>
      <c r="D5" s="1970"/>
      <c r="E5" s="1970"/>
      <c r="F5" s="1970"/>
      <c r="G5" s="1970"/>
      <c r="H5" s="1970"/>
      <c r="I5" s="1970"/>
      <c r="J5" s="1970"/>
      <c r="K5" s="1970"/>
      <c r="L5" s="1970"/>
      <c r="M5" s="1970"/>
      <c r="N5" s="1970"/>
      <c r="O5" s="1970"/>
      <c r="P5" s="1970"/>
      <c r="Q5" s="1970"/>
      <c r="R5" s="1970"/>
      <c r="S5" s="1970"/>
      <c r="T5" s="1970"/>
      <c r="U5" s="1970"/>
      <c r="V5" s="1970"/>
      <c r="W5" s="1970"/>
      <c r="X5" s="1970"/>
      <c r="Y5" s="1970"/>
      <c r="Z5" s="1970"/>
      <c r="AA5" s="1970"/>
      <c r="AB5" s="1970"/>
      <c r="AC5" s="1970"/>
      <c r="AD5" s="1970"/>
      <c r="AE5" s="1970"/>
      <c r="AI5">
        <v>4</v>
      </c>
    </row>
    <row r="6" spans="1:37" ht="13.5">
      <c r="A6" s="244"/>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row>
    <row r="7" spans="1:37" ht="14.25" thickBot="1">
      <c r="A7" s="244"/>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row>
    <row r="8" spans="1:37" s="246" customFormat="1" ht="13.5">
      <c r="A8" s="245"/>
      <c r="B8" s="1971" t="s">
        <v>1269</v>
      </c>
      <c r="C8" s="1972"/>
      <c r="D8" s="1972"/>
      <c r="E8" s="1973"/>
      <c r="F8" s="245"/>
      <c r="G8" s="1971" t="s">
        <v>1270</v>
      </c>
      <c r="H8" s="1972"/>
      <c r="I8" s="1972"/>
      <c r="J8" s="1972"/>
      <c r="K8" s="1972"/>
      <c r="L8" s="1972"/>
      <c r="M8" s="1972"/>
      <c r="N8" s="1972"/>
      <c r="O8" s="1972"/>
      <c r="P8" s="1972"/>
      <c r="Q8" s="1972"/>
      <c r="R8" s="1972"/>
      <c r="S8" s="1972"/>
      <c r="T8" s="1973"/>
      <c r="U8" s="245"/>
      <c r="V8" s="1097" t="s">
        <v>1271</v>
      </c>
      <c r="W8" s="1098"/>
      <c r="X8" s="1098"/>
      <c r="Y8" s="1099"/>
      <c r="Z8" s="1100" t="s">
        <v>1275</v>
      </c>
      <c r="AA8" s="1101"/>
      <c r="AB8" s="1101"/>
      <c r="AC8" s="1101"/>
      <c r="AD8" s="1101"/>
      <c r="AE8" s="1102"/>
      <c r="AF8" s="601"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7" s="246" customFormat="1" ht="15.75" customHeight="1">
      <c r="A9" s="245"/>
      <c r="B9" s="1103" t="s">
        <v>1952</v>
      </c>
      <c r="C9" s="1104"/>
      <c r="D9" s="1104"/>
      <c r="E9" s="1105"/>
      <c r="F9" s="245"/>
      <c r="G9" s="1112"/>
      <c r="H9" s="1113"/>
      <c r="I9" s="1113"/>
      <c r="J9" s="1113"/>
      <c r="K9" s="1113"/>
      <c r="L9" s="1113"/>
      <c r="M9" s="1113"/>
      <c r="N9" s="1113"/>
      <c r="O9" s="1113"/>
      <c r="P9" s="1113"/>
      <c r="Q9" s="1113"/>
      <c r="R9" s="1113"/>
      <c r="S9" s="1113"/>
      <c r="T9" s="1114"/>
      <c r="U9" s="245"/>
      <c r="V9" s="1118" t="str">
        <f>IFERROR(VLOOKUP(CONCATENATE(B9&amp;G9),AI241:AL495,2,FALSE),"自動取得")</f>
        <v>自動取得</v>
      </c>
      <c r="W9" s="1119"/>
      <c r="X9" s="1119"/>
      <c r="Y9" s="1120"/>
      <c r="Z9" s="1124" t="str">
        <f>IFERROR(VLOOKUP(CONCATENATE(B9&amp;G9),AI241:AL495,4,FALSE),"自動取得")</f>
        <v>自動取得</v>
      </c>
      <c r="AA9" s="1125"/>
      <c r="AB9" s="1125"/>
      <c r="AC9" s="1125"/>
      <c r="AD9" s="1125"/>
      <c r="AE9" s="1126"/>
      <c r="AF9" s="601" t="str">
        <f>IF(AND(B9&lt;&gt;"",B9&lt;&gt;"最初に選択してください"),
IF(AND(B9&lt;&gt;"",G9="",I11&lt;&gt;"",OR(IFERROR(V9,"")="",IFERROR(V9,"")="自動取得")),"←②で旧校名を選択してください。表示されない場合はお問い合わせください",
IF(AND(B9&lt;&gt;"",G9&lt;&gt;"",OR(IFERROR(V9,"")="",IFERROR(V9,"")="自動取得")),"←③学校コードが未取得です。事務局までお問い合わせください。",
IF(AND(NOT(AND(G9="",I11="")),OR(IFERROR(Z9,"")="",IFERROR(Z9,"")="自動取得")),"←④設置課程が未取得です。事務局までお問い合わせください。",
IF(AND(NOT(AND(G9="",I11="")),OR(IFERROR(AB11,"")="",IFERROR(AB11,"")="自動取得")),"←エラーが発生しています。必ず事務局までお問い合わせください。",
"")))),"")</f>
        <v/>
      </c>
    </row>
    <row r="10" spans="1:37" s="246" customFormat="1" ht="26.25" customHeight="1" thickBot="1">
      <c r="A10" s="245"/>
      <c r="B10" s="1106"/>
      <c r="C10" s="1107"/>
      <c r="D10" s="1107"/>
      <c r="E10" s="1108"/>
      <c r="F10" s="245"/>
      <c r="G10" s="1115"/>
      <c r="H10" s="1116"/>
      <c r="I10" s="1116"/>
      <c r="J10" s="1116"/>
      <c r="K10" s="1116"/>
      <c r="L10" s="1116"/>
      <c r="M10" s="1116"/>
      <c r="N10" s="1116"/>
      <c r="O10" s="1116"/>
      <c r="P10" s="1116"/>
      <c r="Q10" s="1116"/>
      <c r="R10" s="1116"/>
      <c r="S10" s="1116"/>
      <c r="T10" s="1117"/>
      <c r="U10" s="245"/>
      <c r="V10" s="1121"/>
      <c r="W10" s="1122"/>
      <c r="X10" s="1122"/>
      <c r="Y10" s="1123"/>
      <c r="Z10" s="1964" t="s">
        <v>1951</v>
      </c>
      <c r="AA10" s="1965"/>
      <c r="AB10" s="1965"/>
      <c r="AC10" s="1965"/>
      <c r="AD10" s="1965"/>
      <c r="AE10" s="1966"/>
      <c r="AF10" s="601"/>
    </row>
    <row r="11" spans="1:37" s="246" customFormat="1" ht="22.5" customHeight="1" thickBot="1">
      <c r="A11" s="245"/>
      <c r="B11" s="1109"/>
      <c r="C11" s="1110"/>
      <c r="D11" s="1110"/>
      <c r="E11" s="1111"/>
      <c r="F11" s="245"/>
      <c r="G11" s="906" t="s">
        <v>1277</v>
      </c>
      <c r="H11" s="907"/>
      <c r="I11" s="1127"/>
      <c r="J11" s="1127"/>
      <c r="K11" s="1127"/>
      <c r="L11" s="1127"/>
      <c r="M11" s="1127"/>
      <c r="N11" s="1127"/>
      <c r="O11" s="1127"/>
      <c r="P11" s="1127"/>
      <c r="Q11" s="1127"/>
      <c r="R11" s="1127"/>
      <c r="S11" s="1127"/>
      <c r="T11" s="1128"/>
      <c r="U11" s="245"/>
      <c r="V11" s="247"/>
      <c r="W11" s="247"/>
      <c r="X11" s="247"/>
      <c r="Y11" s="247"/>
      <c r="Z11" s="247"/>
      <c r="AA11" s="247"/>
      <c r="AB11" s="1967" t="str">
        <f>IFERROR(VLOOKUP(CONCATENATE(B9&amp;G9),AI241:AL495,3,FALSE),"自動取得")</f>
        <v>自動取得</v>
      </c>
      <c r="AC11" s="1967"/>
      <c r="AD11" s="1967"/>
      <c r="AE11" s="1967"/>
      <c r="AF11" s="601"/>
    </row>
    <row r="12" spans="1:37" s="245" customFormat="1" ht="6.75" hidden="1" customHeight="1">
      <c r="B12" s="248"/>
      <c r="C12" s="248"/>
      <c r="D12" s="248"/>
      <c r="E12" s="248"/>
      <c r="G12" s="249"/>
      <c r="H12" s="249"/>
      <c r="I12" s="250"/>
      <c r="J12" s="250"/>
      <c r="K12" s="250"/>
      <c r="L12" s="250"/>
      <c r="M12" s="250"/>
      <c r="N12" s="250"/>
      <c r="O12" s="250"/>
      <c r="P12" s="250"/>
      <c r="Q12" s="250"/>
      <c r="R12" s="250"/>
      <c r="S12" s="250"/>
      <c r="T12" s="250"/>
      <c r="V12" s="250"/>
      <c r="W12" s="250"/>
      <c r="X12" s="250"/>
      <c r="Y12" s="250"/>
      <c r="Z12" s="250"/>
      <c r="AA12" s="250"/>
      <c r="AB12" s="251"/>
      <c r="AC12" s="251"/>
      <c r="AD12" s="251"/>
      <c r="AE12" s="251"/>
      <c r="AF12" s="602"/>
    </row>
    <row r="13" spans="1:37" s="245" customFormat="1" ht="6.75" hidden="1" customHeight="1">
      <c r="B13" s="248"/>
      <c r="C13" s="248"/>
      <c r="D13" s="248"/>
      <c r="E13" s="248"/>
      <c r="G13" s="249"/>
      <c r="H13" s="249"/>
      <c r="I13" s="250"/>
      <c r="J13" s="250"/>
      <c r="K13" s="250"/>
      <c r="L13" s="250"/>
      <c r="M13" s="250"/>
      <c r="N13" s="250"/>
      <c r="O13" s="250"/>
      <c r="P13" s="250"/>
      <c r="Q13" s="250"/>
      <c r="R13" s="250"/>
      <c r="S13" s="250"/>
      <c r="T13" s="250"/>
      <c r="V13" s="250"/>
      <c r="W13" s="250"/>
      <c r="X13" s="250"/>
      <c r="Y13" s="250"/>
      <c r="Z13" s="250"/>
      <c r="AA13" s="250"/>
      <c r="AB13" s="251"/>
      <c r="AC13" s="251"/>
      <c r="AD13" s="251"/>
      <c r="AE13" s="251"/>
      <c r="AF13" s="602"/>
    </row>
    <row r="14" spans="1:37" ht="12.75" thickBot="1">
      <c r="A14" s="245"/>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row>
    <row r="15" spans="1:37" s="246" customFormat="1" ht="13.5" customHeight="1">
      <c r="A15" s="1946" t="s">
        <v>1278</v>
      </c>
      <c r="B15" s="1947"/>
      <c r="C15" s="1947"/>
      <c r="D15" s="1947"/>
      <c r="E15" s="1947"/>
      <c r="F15" s="1947"/>
      <c r="G15" s="1947"/>
      <c r="H15" s="1947"/>
      <c r="I15" s="1947"/>
      <c r="J15" s="1947"/>
      <c r="K15" s="1947"/>
      <c r="L15" s="1947"/>
      <c r="M15" s="1947"/>
      <c r="N15" s="1947"/>
      <c r="O15" s="1947"/>
      <c r="P15" s="1947"/>
      <c r="Q15" s="1947"/>
      <c r="R15" s="1947"/>
      <c r="S15" s="1947"/>
      <c r="T15" s="1947"/>
      <c r="U15" s="1947"/>
      <c r="V15" s="1947"/>
      <c r="W15" s="1947"/>
      <c r="X15" s="1947"/>
      <c r="Y15" s="1947"/>
      <c r="Z15" s="1947"/>
      <c r="AA15" s="1947"/>
      <c r="AB15" s="1947"/>
      <c r="AC15" s="1947"/>
      <c r="AD15" s="1947"/>
      <c r="AE15" s="1948"/>
      <c r="AF15"/>
    </row>
    <row r="16" spans="1:37" s="246" customFormat="1" ht="20.100000000000001" customHeight="1">
      <c r="A16" s="1949" t="s">
        <v>1216</v>
      </c>
      <c r="B16" s="1950"/>
      <c r="C16" s="1951"/>
      <c r="D16" s="1955" t="s">
        <v>4</v>
      </c>
      <c r="E16" s="1956"/>
      <c r="F16" s="875"/>
      <c r="G16" s="875"/>
      <c r="H16" s="875"/>
      <c r="I16" s="875"/>
      <c r="J16" s="875"/>
      <c r="K16" s="875"/>
      <c r="L16" s="875"/>
      <c r="M16" s="875"/>
      <c r="N16" s="875"/>
      <c r="O16" s="875"/>
      <c r="P16" s="876"/>
      <c r="Q16" s="1957" t="s">
        <v>3</v>
      </c>
      <c r="R16" s="1958"/>
      <c r="S16" s="1959"/>
      <c r="T16" s="880"/>
      <c r="U16" s="881"/>
      <c r="V16" s="881"/>
      <c r="W16" s="881"/>
      <c r="X16" s="881"/>
      <c r="Y16" s="881"/>
      <c r="Z16" s="881"/>
      <c r="AA16" s="881"/>
      <c r="AB16" s="881"/>
      <c r="AC16" s="881"/>
      <c r="AD16" s="881"/>
      <c r="AE16" s="882"/>
      <c r="AF16" s="601" t="str">
        <f>IF(F18="","←問い合わせ先氏名を記入してください","")</f>
        <v>←問い合わせ先氏名を記入してください</v>
      </c>
    </row>
    <row r="17" spans="1:32" s="246" customFormat="1" ht="12.75" customHeight="1">
      <c r="A17" s="1949"/>
      <c r="B17" s="1950"/>
      <c r="C17" s="1951"/>
      <c r="D17" s="1960" t="s">
        <v>0</v>
      </c>
      <c r="E17" s="1961"/>
      <c r="F17" s="885"/>
      <c r="G17" s="885"/>
      <c r="H17" s="885"/>
      <c r="I17" s="885"/>
      <c r="J17" s="885"/>
      <c r="K17" s="885"/>
      <c r="L17" s="885"/>
      <c r="M17" s="885"/>
      <c r="N17" s="885"/>
      <c r="O17" s="885"/>
      <c r="P17" s="886"/>
      <c r="Q17" s="1962" t="s">
        <v>1266</v>
      </c>
      <c r="R17" s="1956"/>
      <c r="S17" s="1956"/>
      <c r="T17" s="889"/>
      <c r="U17" s="890"/>
      <c r="V17" s="890"/>
      <c r="W17" s="890"/>
      <c r="X17" s="890"/>
      <c r="Y17" s="890"/>
      <c r="Z17" s="890"/>
      <c r="AA17" s="890"/>
      <c r="AB17" s="890"/>
      <c r="AC17" s="890"/>
      <c r="AD17" s="890"/>
      <c r="AE17" s="891"/>
      <c r="AF17" s="601" t="str">
        <f>IF(T16="","←問い合わせ先電話番号を記入してください","")</f>
        <v>←問い合わせ先電話番号を記入してください</v>
      </c>
    </row>
    <row r="18" spans="1:32" s="246" customFormat="1" ht="20.100000000000001" customHeight="1" thickBot="1">
      <c r="A18" s="1952"/>
      <c r="B18" s="1953"/>
      <c r="C18" s="1954"/>
      <c r="D18" s="1938" t="s">
        <v>1217</v>
      </c>
      <c r="E18" s="1939"/>
      <c r="F18" s="1010"/>
      <c r="G18" s="1010"/>
      <c r="H18" s="1010"/>
      <c r="I18" s="1010"/>
      <c r="J18" s="1010"/>
      <c r="K18" s="1010"/>
      <c r="L18" s="1010"/>
      <c r="M18" s="1010"/>
      <c r="N18" s="1010"/>
      <c r="O18" s="1010"/>
      <c r="P18" s="1011"/>
      <c r="Q18" s="1963"/>
      <c r="R18" s="1963"/>
      <c r="S18" s="1963"/>
      <c r="T18" s="892"/>
      <c r="U18" s="893"/>
      <c r="V18" s="893"/>
      <c r="W18" s="893"/>
      <c r="X18" s="893"/>
      <c r="Y18" s="893"/>
      <c r="Z18" s="893"/>
      <c r="AA18" s="893"/>
      <c r="AB18" s="893"/>
      <c r="AC18" s="893"/>
      <c r="AD18" s="893"/>
      <c r="AE18" s="894"/>
      <c r="AF18" s="601" t="str">
        <f>IF(T17="","←問い合わせ先メールを記入してください","")</f>
        <v>←問い合わせ先メールを記入してください</v>
      </c>
    </row>
    <row r="19" spans="1:32" s="246" customFormat="1" ht="15" customHeight="1" thickBot="1">
      <c r="A19" s="252"/>
      <c r="B19" s="252"/>
      <c r="C19" s="252"/>
      <c r="D19" s="252"/>
      <c r="E19" s="252"/>
      <c r="F19" s="252"/>
      <c r="G19" s="252"/>
      <c r="H19" s="252"/>
      <c r="I19" s="252"/>
      <c r="J19" s="252"/>
      <c r="K19" s="252"/>
      <c r="L19" s="252"/>
      <c r="M19" s="252"/>
      <c r="N19" s="252"/>
      <c r="O19" s="252"/>
      <c r="P19" s="252"/>
      <c r="Q19" s="253" t="s">
        <v>1331</v>
      </c>
      <c r="R19" s="252"/>
      <c r="S19" s="252"/>
      <c r="T19" s="252"/>
      <c r="U19" s="252"/>
      <c r="V19" s="252"/>
      <c r="W19" s="252"/>
      <c r="X19" s="252"/>
      <c r="Y19" s="252"/>
      <c r="Z19" s="252"/>
      <c r="AA19" s="252"/>
      <c r="AB19" s="252"/>
      <c r="AC19" s="252"/>
      <c r="AD19" s="252"/>
      <c r="AE19" s="252"/>
      <c r="AF19" s="601"/>
    </row>
    <row r="20" spans="1:32" s="246" customFormat="1" ht="15" customHeight="1">
      <c r="A20" s="254"/>
      <c r="B20" s="1940" t="s">
        <v>1272</v>
      </c>
      <c r="C20" s="1941"/>
      <c r="D20" s="1941"/>
      <c r="E20" s="1941"/>
      <c r="F20" s="1941"/>
      <c r="G20" s="1941"/>
      <c r="H20" s="1941"/>
      <c r="I20" s="1941"/>
      <c r="J20" s="1941"/>
      <c r="K20" s="1941"/>
      <c r="L20" s="1941"/>
      <c r="M20" s="1941"/>
      <c r="N20" s="1941"/>
      <c r="O20" s="1941"/>
      <c r="P20" s="1941"/>
      <c r="Q20" s="1941"/>
      <c r="R20" s="1941"/>
      <c r="S20" s="1941"/>
      <c r="T20" s="1941"/>
      <c r="U20" s="1941"/>
      <c r="V20" s="1941"/>
      <c r="W20" s="1941"/>
      <c r="X20" s="1941"/>
      <c r="Y20" s="1941"/>
      <c r="Z20" s="1941"/>
      <c r="AA20" s="1941"/>
      <c r="AB20" s="1941"/>
      <c r="AC20" s="1941"/>
      <c r="AD20" s="1942"/>
      <c r="AE20" s="245"/>
      <c r="AF20" s="603"/>
    </row>
    <row r="21" spans="1:32" s="246" customFormat="1" ht="31.5" customHeight="1">
      <c r="A21" s="254"/>
      <c r="B21" s="1943" t="str">
        <f>IF(OR(IFERROR($V$9,"")="自動取得",IFERROR($V$9,"")="",ISERROR($V$9)),"③学校コードが取得されていません。①都道府県名、②学校名が入力されているか確認してください。原因が分からない場合はお問い合わせください。",
IF(AND($A$34="",MID($V$9,5,1)="9"),"↓【全ての項目】に回答をお願いいたします。",
IF(AND(OR($AB$11="有",$A$34="✔"),$Z$10="通信制"),"【本票】「Ⅱ．所在地別生徒数」、「Ⅲ．生徒１人当りの納付金（１単位当り授業料）」と
【別票】に回答をお願いいたします。",
IF(AND(OR($AB$11="有",$A$34="✔"),OR($Z$10="↑④に変更がある場合は選択",$Z$10=""),$Z$9="通信制"),"【本票】「Ⅱ．所在地別生徒数」、「Ⅲ．生徒１人当りの納付金（１単位当り授業料）」と【別票】に回答をお願いいたします。",
IF(AND(OR($AB$11="有",$A$34="✔"),$Z$10="通/専攻科"),"【本票】「Ⅰ.生徒数」の男女別生徒数、「Ⅱ．所在地別生徒数」、「Ⅲ．生徒１人当りの納付金（１単位当り授業料）」と【別票】に回答をお願いいたします。",
IF(AND(OR($AB$11="有",$A$34="✔"),OR($Z$10="↑④に変更がある場合は選択",$Z$10=""),$Z$9="通/専攻科"),"【本票】「Ⅰ.生徒数」の男女別生徒数、「Ⅱ．所在地別生徒数」、「Ⅲ．生徒１人当りの納付金（１単位当り授業料）」と【別票】に回答をお願いいたします。",
IF(AND(OR($AB$11="有",$A$34="✔"),OR($Z$10="全/通信制",$Z$10="定/通信制",$Z$10="全/定/通")),"【本票】「Ⅱ．所在地別生徒数」、「Ⅲ．生徒１人当りの納付金（１単位当り授業料）」、「Ⅵ.令和７年度事業活動収支内訳」と【別票】に回答をお願いいたします。",
IF(AND(OR($AB$11="有",$A$34="✔"),OR($Z$10="↑④に変更がある場合は選択",$Z$10=""),OR($Z$9="全/通信制",$Z$9="定/通信制",$Z$9="全/定/通")),"【本票】「Ⅱ．所在地別生徒数」、「Ⅲ．生徒１人当りの納付金（１単位当り授業料）」、「Ⅵ.令和７年度事業活動収支内訳」と【別票】に回答をお願いいたします。",
IF(AND(OR($AB$11="有",$A$34="✔"),OR($Z$10="全/通/専",$Z$10="全/定/通/専")),"【本票】「Ⅰ.生徒数」の男女別生徒数、「Ⅱ．所在地別生徒数」、「Ⅲ．生徒１人当りの納付金（１単位当り授業料）」、「Ⅵ.令和７年度事業活動収支内訳」と【別票】に回答をお願いいたします。",
IF(AND(OR($AB$11="有",$A$34="✔"),OR($Z$10="↑④に変更がある場合は選択",$Z$10=""),OR($Z$9="全/通/専",$Z$9="全/定/通/専")),"【本票】「Ⅰ.生徒数」の男女別生徒数、「Ⅱ．所在地別生徒数」、「Ⅲ．生徒１人当りの納付金（１単位当り授業料）」、「Ⅵ.令和７年度事業活動収支内訳」と【別票】に回答をお願いいたします。",
IF(AND($AB$11="無",$A$34=""),"↓ご確認欄にチェックをいただけない場合は、【全ての項目】に回答をお願いいたします。",
"")))))))))))</f>
        <v>③学校コードが取得されていません。①都道府県名、②学校名が入力されているか確認してください。原因が分からない場合はお問い合わせください。</v>
      </c>
      <c r="C21" s="1944"/>
      <c r="D21" s="1944"/>
      <c r="E21" s="1944"/>
      <c r="F21" s="1944"/>
      <c r="G21" s="1944"/>
      <c r="H21" s="1944"/>
      <c r="I21" s="1944"/>
      <c r="J21" s="1944"/>
      <c r="K21" s="1944"/>
      <c r="L21" s="1944"/>
      <c r="M21" s="1944"/>
      <c r="N21" s="1944"/>
      <c r="O21" s="1944"/>
      <c r="P21" s="1944"/>
      <c r="Q21" s="1944"/>
      <c r="R21" s="1944"/>
      <c r="S21" s="1944"/>
      <c r="T21" s="1944"/>
      <c r="U21" s="1944"/>
      <c r="V21" s="1944"/>
      <c r="W21" s="1944"/>
      <c r="X21" s="1944"/>
      <c r="Y21" s="1944"/>
      <c r="Z21" s="1944"/>
      <c r="AA21" s="1944"/>
      <c r="AB21" s="1944"/>
      <c r="AC21" s="1944"/>
      <c r="AD21" s="1945"/>
      <c r="AE21" s="245"/>
      <c r="AF21" s="603"/>
    </row>
    <row r="22" spans="1:32" s="70" customFormat="1" ht="12.75" customHeight="1">
      <c r="A22" s="255"/>
      <c r="B22" s="1046" t="str">
        <f>IF(AND($B$21="【本票】「Ⅰ.生徒数」の男女別生徒数、「Ⅱ．所在地別生徒数」、「Ⅲ．生徒１人当りの納付金（１単位当り授業料）」と【別票】に回答をお願いいたします。",OR(AND($Z$9="通/専攻科",OR($Z$10="↑④に変更がある場合は選択",$Z$10="")),$Z$10="通/専攻科")),"なお、この調査票では【通信制】についてご回答いただき、専攻科については専攻科調査票にてご回答をお願いいたします。",
IF(AND($B$21="【本票】「Ⅱ．所在地別生徒数」、「Ⅲ．生徒１人当りの納付金（１単位当り授業料）」、「Ⅵ.令和７年度事業活動収支内訳」と【別票】に回答をお願いいたします。",OR(AND($Z$9="定/通信制",OR($Z$10="↑④に変更がある場合は選択",$Z$10="")),$Z$10="定/通信制")),"なお、この調査票では【通信制】についてご回答いただき、定時制については定時制調査票にてご回答をお願いいたします。",
IF(AND($B$21="【本票】「Ⅱ．所在地別生徒数」、「Ⅲ．生徒１人当りの納付金（１単位当り授業料）」、「Ⅵ.令和７年度事業活動収支内訳」と【別票】に回答をお願いいたします。",OR(AND($Z$9="全/通信制",OR($Z$10="↑④に変更がある場合は選択",$Z$10="")),$Z$10="全/通信制")),"なお、この調査票では【通信制】についてご回答いただき、全日制については全日制調査票にてご回答をお願いいたします。",
IF(AND($B$21="【本票】「Ⅱ．所在地別生徒数」、「Ⅲ．生徒１人当りの納付金（１単位当り授業料）」、「Ⅵ.令和７年度事業活動収支内訳」と【別票】に回答をお願いいたします。",OR(AND($Z$9="全/定/通",OR($Z$10="↑④に変更がある場合は選択",$Z$10="")),$Z$10="全/定/通")),"なお、この調査票では【通信制】についてご回答いただき、全日制・定時制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通/専",OR($Z$10="↑④に変更がある場合は選択",$Z$10="")),$Z$10="全/通/専")),"なお、この調査票では【通信制】についてご回答いただき、全日制・専攻科については各調査票にてご回答をお願いいたします。",
IF(AND($B$21="【本票】「Ⅰ.生徒数」の男女別生徒数、「Ⅱ．所在地別生徒数」、「Ⅲ．生徒１人当りの納付金（１単位当り授業料）」、「Ⅵ.令和７年度事業活動収支内訳」と【別票】に回答をお願いいたします。",OR(AND($Z$9="全/定/通/専",OR($Z$10="↑④に変更がある場合は選択",$Z$10="")),$Z$10="全/定/通/専")),"なお、この調査票では【通信制】についてご回答いただき、全日制・定時制・専攻科については各調査票にてご回答をお願いいたします。",
IF($B$21="↓ご確認欄にチェックをいただけない場合は、【全ての項目】に回答をお願いいたします。","なお、昨年度までに９割以上の学校に私学事業団からの情報提供の同意をいただいております。円滑な調査の推進のため、引き続きご協力をお願い申し上げます。",
"")))))))</f>
        <v/>
      </c>
      <c r="C22" s="1047"/>
      <c r="D22" s="1047"/>
      <c r="E22" s="1047"/>
      <c r="F22" s="1047"/>
      <c r="G22" s="1047"/>
      <c r="H22" s="1047"/>
      <c r="I22" s="1047"/>
      <c r="J22" s="1047"/>
      <c r="K22" s="1047"/>
      <c r="L22" s="1047"/>
      <c r="M22" s="1047"/>
      <c r="N22" s="1047"/>
      <c r="O22" s="1047"/>
      <c r="P22" s="1047"/>
      <c r="Q22" s="1047"/>
      <c r="R22" s="1047"/>
      <c r="S22" s="1047"/>
      <c r="T22" s="1047"/>
      <c r="U22" s="1047"/>
      <c r="V22" s="1047"/>
      <c r="W22" s="1047"/>
      <c r="X22" s="1047"/>
      <c r="Y22" s="1047"/>
      <c r="Z22" s="1047"/>
      <c r="AA22" s="1047"/>
      <c r="AB22" s="1047"/>
      <c r="AC22" s="1047"/>
      <c r="AD22" s="1048"/>
      <c r="AE22" s="256"/>
      <c r="AF22" s="226"/>
    </row>
    <row r="23" spans="1:32" s="246" customFormat="1" ht="12.75" customHeight="1" thickBot="1">
      <c r="A23" s="254"/>
      <c r="B23" s="1049"/>
      <c r="C23" s="1050"/>
      <c r="D23" s="1050"/>
      <c r="E23" s="1050"/>
      <c r="F23" s="1050"/>
      <c r="G23" s="1050"/>
      <c r="H23" s="1050"/>
      <c r="I23" s="1050"/>
      <c r="J23" s="1050"/>
      <c r="K23" s="1050"/>
      <c r="L23" s="1050"/>
      <c r="M23" s="1050"/>
      <c r="N23" s="1050"/>
      <c r="O23" s="1050"/>
      <c r="P23" s="1050"/>
      <c r="Q23" s="1050"/>
      <c r="R23" s="1050"/>
      <c r="S23" s="1050"/>
      <c r="T23" s="1050"/>
      <c r="U23" s="1050"/>
      <c r="V23" s="1050"/>
      <c r="W23" s="1050"/>
      <c r="X23" s="1050"/>
      <c r="Y23" s="1050"/>
      <c r="Z23" s="1050"/>
      <c r="AA23" s="1050"/>
      <c r="AB23" s="1050"/>
      <c r="AC23" s="1050"/>
      <c r="AD23" s="1051"/>
      <c r="AE23" s="245"/>
      <c r="AF23" s="603"/>
    </row>
    <row r="24" spans="1:32" s="246" customFormat="1" ht="8.25" customHeight="1" thickBot="1">
      <c r="A24" s="254"/>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45"/>
      <c r="AF24" s="603"/>
    </row>
    <row r="25" spans="1:32" s="246" customFormat="1" ht="13.5" customHeight="1">
      <c r="A25" s="1946" t="s">
        <v>1279</v>
      </c>
      <c r="B25" s="1947"/>
      <c r="C25" s="1947"/>
      <c r="D25" s="1947"/>
      <c r="E25" s="1947"/>
      <c r="F25" s="1947"/>
      <c r="G25" s="1947"/>
      <c r="H25" s="1947"/>
      <c r="I25" s="1947"/>
      <c r="J25" s="1947"/>
      <c r="K25" s="1947"/>
      <c r="L25" s="1947"/>
      <c r="M25" s="1947"/>
      <c r="N25" s="1947"/>
      <c r="O25" s="1947"/>
      <c r="P25" s="1947"/>
      <c r="Q25" s="1947"/>
      <c r="R25" s="1947"/>
      <c r="S25" s="1947"/>
      <c r="T25" s="1947"/>
      <c r="U25" s="1947"/>
      <c r="V25" s="1947"/>
      <c r="W25" s="1947"/>
      <c r="X25" s="1947"/>
      <c r="Y25" s="1947"/>
      <c r="Z25" s="1947"/>
      <c r="AA25" s="1947"/>
      <c r="AB25" s="1947"/>
      <c r="AC25" s="1947"/>
      <c r="AD25" s="1947"/>
      <c r="AE25" s="1948"/>
      <c r="AF25" s="603"/>
    </row>
    <row r="26" spans="1:32" s="246" customFormat="1" ht="30" customHeight="1">
      <c r="A26" s="1929" t="s">
        <v>1267</v>
      </c>
      <c r="B26" s="1930"/>
      <c r="C26" s="1931"/>
      <c r="D26" s="1073"/>
      <c r="E26" s="1074"/>
      <c r="F26" s="1074"/>
      <c r="G26" s="1074"/>
      <c r="H26" s="1074"/>
      <c r="I26" s="1074"/>
      <c r="J26" s="1074"/>
      <c r="K26" s="1074"/>
      <c r="L26" s="1074"/>
      <c r="M26" s="1074"/>
      <c r="N26" s="1074"/>
      <c r="O26" s="1074"/>
      <c r="P26" s="1074"/>
      <c r="Q26" s="1074"/>
      <c r="R26" s="1074"/>
      <c r="S26" s="1074"/>
      <c r="T26" s="1074"/>
      <c r="U26" s="1074"/>
      <c r="V26" s="1074"/>
      <c r="W26" s="1074"/>
      <c r="X26" s="1074"/>
      <c r="Y26" s="1074"/>
      <c r="Z26" s="1074"/>
      <c r="AA26" s="1074"/>
      <c r="AB26" s="1074"/>
      <c r="AC26" s="1074"/>
      <c r="AD26" s="1074"/>
      <c r="AE26" s="1075"/>
      <c r="AF26" s="239" t="str">
        <f>IF(OR($AB$11="有",MID($V$9,5,1)="9"),"",IF(D26="","←学校法人名を記入してください",""))</f>
        <v>←学校法人名を記入してください</v>
      </c>
    </row>
    <row r="27" spans="1:32" s="246" customFormat="1" ht="30" customHeight="1" thickBot="1">
      <c r="A27" s="1932" t="s">
        <v>1280</v>
      </c>
      <c r="B27" s="1933"/>
      <c r="C27" s="1934"/>
      <c r="D27" s="1079"/>
      <c r="E27" s="1080"/>
      <c r="F27" s="1080"/>
      <c r="G27" s="1080"/>
      <c r="H27" s="1080"/>
      <c r="I27" s="1080"/>
      <c r="J27" s="1080"/>
      <c r="K27" s="1080"/>
      <c r="L27" s="1080"/>
      <c r="M27" s="1080"/>
      <c r="N27" s="1080"/>
      <c r="O27" s="1080"/>
      <c r="P27" s="1081"/>
      <c r="Q27" s="1935" t="s">
        <v>2</v>
      </c>
      <c r="R27" s="1936"/>
      <c r="S27" s="1937"/>
      <c r="T27" s="1085"/>
      <c r="U27" s="1086"/>
      <c r="V27" s="1086"/>
      <c r="W27" s="1086"/>
      <c r="X27" s="1086"/>
      <c r="Y27" s="1086"/>
      <c r="Z27" s="1086"/>
      <c r="AA27" s="1086"/>
      <c r="AB27" s="1086"/>
      <c r="AC27" s="1086"/>
      <c r="AD27" s="1086"/>
      <c r="AE27" s="1087"/>
      <c r="AF27" s="601" t="str">
        <f>IF(OR($AB$11="有",MID($V$9,5,1)="9"),"",IF(D27="","←法人所在地を記入してください",IF(T27="","←理事長名を記入してください","")))</f>
        <v>←法人所在地を記入してください</v>
      </c>
    </row>
    <row r="28" spans="1:32" s="246" customFormat="1" ht="4.5" customHeight="1" thickBot="1">
      <c r="A28" s="258"/>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601"/>
    </row>
    <row r="29" spans="1:32" s="246" customFormat="1" ht="30" customHeight="1" thickBot="1">
      <c r="A29" s="1913" t="s">
        <v>1281</v>
      </c>
      <c r="B29" s="1914"/>
      <c r="C29" s="1915"/>
      <c r="D29" s="1055"/>
      <c r="E29" s="1056"/>
      <c r="F29" s="1056"/>
      <c r="G29" s="1056"/>
      <c r="H29" s="1056"/>
      <c r="I29" s="1056"/>
      <c r="J29" s="1056"/>
      <c r="K29" s="1056"/>
      <c r="L29" s="1056"/>
      <c r="M29" s="1056"/>
      <c r="N29" s="1056"/>
      <c r="O29" s="1056"/>
      <c r="P29" s="1057"/>
      <c r="Q29" s="1916" t="s">
        <v>5</v>
      </c>
      <c r="R29" s="1916"/>
      <c r="S29" s="1917"/>
      <c r="T29" s="1060"/>
      <c r="U29" s="1061"/>
      <c r="V29" s="1061"/>
      <c r="W29" s="1061"/>
      <c r="X29" s="1061"/>
      <c r="Y29" s="1061"/>
      <c r="Z29" s="1061"/>
      <c r="AA29" s="1061"/>
      <c r="AB29" s="1061"/>
      <c r="AC29" s="1061"/>
      <c r="AD29" s="1061"/>
      <c r="AE29" s="1062"/>
      <c r="AF29" s="601" t="str">
        <f>IF(OR($AB$11="有",MID($V$9,5,1)="9"),"",IF(D29="","←学校所在地を記入してください",IF(T29="","←校長名を記入してください","")))</f>
        <v>←学校所在地を記入してください</v>
      </c>
    </row>
    <row r="30" spans="1:32" s="246" customFormat="1" ht="2.25" hidden="1" customHeight="1">
      <c r="A30" s="258"/>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601"/>
    </row>
    <row r="31" spans="1:32" s="246" customFormat="1" ht="2.25" customHeight="1">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39"/>
    </row>
    <row r="32" spans="1:32" s="246" customFormat="1" ht="32.25" customHeight="1" thickBot="1">
      <c r="A32" s="1918" t="s">
        <v>1268</v>
      </c>
      <c r="B32" s="1918"/>
      <c r="C32" s="1918"/>
      <c r="D32" s="1918"/>
      <c r="E32" s="1918"/>
      <c r="F32" s="1918"/>
      <c r="G32" s="1918"/>
      <c r="H32" s="1918"/>
      <c r="I32" s="1918"/>
      <c r="J32" s="1918"/>
      <c r="K32" s="1918"/>
      <c r="L32" s="1918"/>
      <c r="M32" s="1918"/>
      <c r="N32" s="1918"/>
      <c r="O32" s="1918"/>
      <c r="P32" s="1918"/>
      <c r="Q32" s="1918"/>
      <c r="R32" s="1918"/>
      <c r="S32" s="1918"/>
      <c r="T32" s="1918"/>
      <c r="U32" s="1918"/>
      <c r="V32" s="1918"/>
      <c r="W32" s="1918"/>
      <c r="X32" s="1918"/>
      <c r="Y32" s="1918"/>
      <c r="Z32" s="1918"/>
      <c r="AA32" s="1918"/>
      <c r="AB32" s="1918"/>
      <c r="AC32" s="1918"/>
      <c r="AD32" s="1918"/>
      <c r="AE32" s="1918"/>
      <c r="AF32" s="239"/>
    </row>
    <row r="33" spans="1:40" s="246" customFormat="1" ht="30" customHeight="1" thickBot="1">
      <c r="A33" s="1919" t="s">
        <v>1250</v>
      </c>
      <c r="B33" s="1920"/>
      <c r="C33" s="1921" t="s">
        <v>1251</v>
      </c>
      <c r="D33" s="1922"/>
      <c r="E33" s="1922"/>
      <c r="F33" s="1922"/>
      <c r="G33" s="1922"/>
      <c r="H33" s="1922"/>
      <c r="I33" s="1922"/>
      <c r="J33" s="1922"/>
      <c r="K33" s="1922"/>
      <c r="L33" s="1922"/>
      <c r="M33" s="1922"/>
      <c r="N33" s="1922"/>
      <c r="O33" s="1922"/>
      <c r="P33" s="1922"/>
      <c r="Q33" s="1922"/>
      <c r="R33" s="1922"/>
      <c r="S33" s="1922"/>
      <c r="T33" s="1922"/>
      <c r="U33" s="1922"/>
      <c r="V33" s="1922"/>
      <c r="W33" s="1922"/>
      <c r="X33" s="1922"/>
      <c r="Y33" s="1922"/>
      <c r="Z33" s="1922"/>
      <c r="AA33" s="1922"/>
      <c r="AB33" s="1922"/>
      <c r="AC33" s="1922"/>
      <c r="AD33" s="1922"/>
      <c r="AE33" s="1923"/>
      <c r="AF33" s="239"/>
    </row>
    <row r="34" spans="1:40" s="246" customFormat="1" ht="50.1" customHeight="1" thickBot="1">
      <c r="A34" s="1927"/>
      <c r="B34" s="1928"/>
      <c r="C34" s="1924"/>
      <c r="D34" s="1925"/>
      <c r="E34" s="1925"/>
      <c r="F34" s="1925"/>
      <c r="G34" s="1925"/>
      <c r="H34" s="1925"/>
      <c r="I34" s="1925"/>
      <c r="J34" s="1925"/>
      <c r="K34" s="1925"/>
      <c r="L34" s="1925"/>
      <c r="M34" s="1925"/>
      <c r="N34" s="1925"/>
      <c r="O34" s="1925"/>
      <c r="P34" s="1925"/>
      <c r="Q34" s="1925"/>
      <c r="R34" s="1925"/>
      <c r="S34" s="1925"/>
      <c r="T34" s="1925"/>
      <c r="U34" s="1925"/>
      <c r="V34" s="1925"/>
      <c r="W34" s="1925"/>
      <c r="X34" s="1925"/>
      <c r="Y34" s="1925"/>
      <c r="Z34" s="1925"/>
      <c r="AA34" s="1925"/>
      <c r="AB34" s="1925"/>
      <c r="AC34" s="1925"/>
      <c r="AD34" s="1925"/>
      <c r="AE34" s="1926"/>
      <c r="AF34" s="609" t="str">
        <f>IF(OR($AB$11="有",MID($V$9,5,1)="9"),"",
IF($A$34="","←事業団からのデータ提供に同意いただける場合には、チェックを入れてください",""))</f>
        <v>←事業団からのデータ提供に同意いただける場合には、チェックを入れてください</v>
      </c>
    </row>
    <row r="35" spans="1:40" s="3" customFormat="1" ht="6.75" customHeight="1">
      <c r="A35" s="260"/>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604"/>
      <c r="AG35" s="262"/>
      <c r="AH35" s="263"/>
      <c r="AI35" s="263"/>
      <c r="AJ35" s="263"/>
      <c r="AK35" s="264"/>
      <c r="AL35" s="263"/>
      <c r="AM35" s="263"/>
      <c r="AN35" s="263"/>
    </row>
    <row r="36" spans="1:40" s="3" customFormat="1" ht="6.75" customHeight="1" thickBot="1">
      <c r="A36" s="260"/>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604"/>
      <c r="AG36" s="262"/>
      <c r="AH36" s="263"/>
      <c r="AI36" s="263"/>
      <c r="AJ36" s="263"/>
      <c r="AK36" s="264"/>
      <c r="AL36" s="263"/>
      <c r="AM36" s="263"/>
      <c r="AN36" s="263"/>
    </row>
    <row r="37" spans="1:40" s="3" customFormat="1" ht="13.15" customHeight="1">
      <c r="A37" s="1891" t="s">
        <v>1332</v>
      </c>
      <c r="B37" s="1892"/>
      <c r="C37" s="1892"/>
      <c r="D37" s="1893"/>
      <c r="E37" s="1894" t="s">
        <v>1333</v>
      </c>
      <c r="F37" s="1895"/>
      <c r="G37" s="1895"/>
      <c r="H37" s="1895"/>
      <c r="I37" s="1895"/>
      <c r="J37" s="1896"/>
      <c r="K37" s="1897" t="s">
        <v>1334</v>
      </c>
      <c r="L37" s="1898"/>
      <c r="M37" s="1898"/>
      <c r="N37" s="1898"/>
      <c r="O37" s="1898"/>
      <c r="P37" s="1899"/>
      <c r="Q37" s="1900" t="s">
        <v>1335</v>
      </c>
      <c r="R37" s="1901"/>
      <c r="S37" s="1901"/>
      <c r="T37" s="1901"/>
      <c r="U37" s="1902"/>
      <c r="V37" s="1903" t="s">
        <v>1336</v>
      </c>
      <c r="W37" s="1904"/>
      <c r="X37" s="1904"/>
      <c r="Y37" s="1905"/>
      <c r="Z37" s="1862" t="s">
        <v>1337</v>
      </c>
      <c r="AA37" s="1862"/>
      <c r="AB37" s="265"/>
      <c r="AC37" s="265"/>
      <c r="AD37" s="265"/>
      <c r="AE37" s="265"/>
      <c r="AF37" s="604" t="str">
        <f>IF(A44="","←本校分校別を選択してください。","")</f>
        <v>←本校分校別を選択してください。</v>
      </c>
      <c r="AG37" s="262"/>
      <c r="AH37" s="263"/>
      <c r="AI37" s="263"/>
      <c r="AJ37" s="263"/>
      <c r="AK37" s="264"/>
      <c r="AL37" s="263"/>
      <c r="AM37" s="263"/>
      <c r="AN37" s="263"/>
    </row>
    <row r="38" spans="1:40" s="3" customFormat="1" ht="8.1" customHeight="1">
      <c r="A38" s="1909"/>
      <c r="B38" s="1910"/>
      <c r="C38" s="1910"/>
      <c r="D38" s="1911"/>
      <c r="E38" s="266"/>
      <c r="F38" s="267"/>
      <c r="G38" s="267"/>
      <c r="H38" s="267"/>
      <c r="I38" s="267"/>
      <c r="J38" s="267"/>
      <c r="K38" s="268"/>
      <c r="L38" s="269"/>
      <c r="M38" s="269"/>
      <c r="N38" s="269"/>
      <c r="O38" s="269"/>
      <c r="P38" s="270"/>
      <c r="Q38" s="271"/>
      <c r="R38" s="272"/>
      <c r="S38" s="272"/>
      <c r="T38" s="272"/>
      <c r="U38" s="273"/>
      <c r="V38" s="1906"/>
      <c r="W38" s="1907"/>
      <c r="X38" s="1907"/>
      <c r="Y38" s="1908"/>
      <c r="Z38" s="1912" t="s">
        <v>1338</v>
      </c>
      <c r="AA38" s="1912"/>
      <c r="AB38" s="1912"/>
      <c r="AC38" s="1912"/>
      <c r="AD38" s="1912"/>
      <c r="AE38" s="1912"/>
      <c r="AF38" s="604"/>
      <c r="AG38" s="262"/>
      <c r="AH38" s="274"/>
      <c r="AI38" s="1881"/>
      <c r="AJ38" s="1881"/>
      <c r="AK38" s="1881"/>
      <c r="AL38" s="263"/>
      <c r="AM38" s="263"/>
      <c r="AN38" s="263"/>
    </row>
    <row r="39" spans="1:40" s="3" customFormat="1" ht="13.15" customHeight="1">
      <c r="A39" s="1882" t="s">
        <v>1339</v>
      </c>
      <c r="B39" s="1883"/>
      <c r="C39" s="1883"/>
      <c r="D39" s="1884"/>
      <c r="E39" s="275" t="s">
        <v>1340</v>
      </c>
      <c r="F39" s="276"/>
      <c r="G39" s="277"/>
      <c r="H39" s="278"/>
      <c r="I39" s="278"/>
      <c r="J39" s="279"/>
      <c r="K39" s="280" t="s">
        <v>1341</v>
      </c>
      <c r="L39" s="244"/>
      <c r="M39" s="259"/>
      <c r="N39" s="259"/>
      <c r="O39" s="259"/>
      <c r="P39" s="281"/>
      <c r="Q39" s="282" t="s">
        <v>1342</v>
      </c>
      <c r="R39" s="259"/>
      <c r="S39" s="283"/>
      <c r="T39" s="284"/>
      <c r="U39" s="285"/>
      <c r="V39" s="1906"/>
      <c r="W39" s="1907"/>
      <c r="X39" s="1907"/>
      <c r="Y39" s="1908"/>
      <c r="Z39" s="1912"/>
      <c r="AA39" s="1912"/>
      <c r="AB39" s="1912"/>
      <c r="AC39" s="1912"/>
      <c r="AD39" s="1912"/>
      <c r="AE39" s="1912"/>
      <c r="AF39" s="604" t="str">
        <f>IF(E44="","←独立・併置別を選択してください。","")</f>
        <v/>
      </c>
      <c r="AG39" s="262"/>
      <c r="AH39" s="264"/>
      <c r="AI39" s="1885"/>
      <c r="AJ39" s="1885"/>
      <c r="AK39" s="1885"/>
      <c r="AL39" s="263"/>
      <c r="AM39" s="263"/>
      <c r="AN39" s="263"/>
    </row>
    <row r="40" spans="1:40" s="3" customFormat="1" ht="13.15" customHeight="1">
      <c r="A40" s="1886"/>
      <c r="B40" s="1887"/>
      <c r="C40" s="1887"/>
      <c r="D40" s="1888"/>
      <c r="E40" s="1866" t="s">
        <v>1343</v>
      </c>
      <c r="F40" s="1867"/>
      <c r="G40" s="1867"/>
      <c r="H40" s="1867"/>
      <c r="I40" s="1867"/>
      <c r="J40" s="1868"/>
      <c r="K40" s="1869" t="s">
        <v>1344</v>
      </c>
      <c r="L40" s="1870"/>
      <c r="M40" s="1870"/>
      <c r="N40" s="1870"/>
      <c r="O40" s="1870"/>
      <c r="P40" s="1871"/>
      <c r="Q40" s="282" t="s">
        <v>1345</v>
      </c>
      <c r="R40" s="259"/>
      <c r="S40" s="283"/>
      <c r="T40" s="284"/>
      <c r="U40" s="284"/>
      <c r="V40" s="1889"/>
      <c r="W40" s="1890"/>
      <c r="X40" s="1860"/>
      <c r="Y40" s="1861"/>
      <c r="Z40" s="1912"/>
      <c r="AA40" s="1912"/>
      <c r="AB40" s="1912"/>
      <c r="AC40" s="1912"/>
      <c r="AD40" s="1912"/>
      <c r="AE40" s="1912"/>
      <c r="AF40" s="604" t="str">
        <f>IF(K44="","←広域・狭域別を選択してください。","")</f>
        <v>←広域・狭域別を選択してください。</v>
      </c>
      <c r="AG40" s="262"/>
      <c r="AH40" s="286"/>
      <c r="AI40" s="1845"/>
      <c r="AJ40" s="1845"/>
      <c r="AK40" s="1845"/>
      <c r="AL40" s="263"/>
      <c r="AM40" s="263"/>
      <c r="AN40" s="263"/>
    </row>
    <row r="41" spans="1:40" s="3" customFormat="1" ht="13.15" customHeight="1">
      <c r="A41" s="1882" t="s">
        <v>1346</v>
      </c>
      <c r="B41" s="1883"/>
      <c r="C41" s="1883"/>
      <c r="D41" s="1884"/>
      <c r="E41" s="275" t="s">
        <v>1347</v>
      </c>
      <c r="F41" s="276"/>
      <c r="G41" s="277"/>
      <c r="H41" s="278"/>
      <c r="I41" s="278"/>
      <c r="J41" s="277"/>
      <c r="K41" s="282" t="s">
        <v>1348</v>
      </c>
      <c r="L41" s="287"/>
      <c r="M41" s="287"/>
      <c r="N41" s="287"/>
      <c r="O41" s="287"/>
      <c r="P41" s="288"/>
      <c r="Q41" s="282" t="s">
        <v>1349</v>
      </c>
      <c r="R41" s="259"/>
      <c r="S41" s="283"/>
      <c r="T41" s="284"/>
      <c r="U41" s="284"/>
      <c r="V41" s="1889"/>
      <c r="W41" s="1890"/>
      <c r="X41" s="1860" t="s">
        <v>1350</v>
      </c>
      <c r="Y41" s="1861"/>
      <c r="Z41" s="1862" t="s">
        <v>1351</v>
      </c>
      <c r="AA41" s="1862"/>
      <c r="AB41" s="289"/>
      <c r="AC41" s="289"/>
      <c r="AD41" s="289"/>
      <c r="AE41" s="265"/>
      <c r="AF41" s="604" t="str">
        <f>IF(Q44="","←男女共学別を選択してください。","")</f>
        <v>←男女共学別を選択してください。</v>
      </c>
      <c r="AG41" s="262"/>
      <c r="AH41" s="286"/>
      <c r="AI41" s="286"/>
      <c r="AJ41" s="286"/>
      <c r="AK41" s="286"/>
      <c r="AL41" s="263"/>
      <c r="AM41" s="263"/>
      <c r="AN41" s="263"/>
    </row>
    <row r="42" spans="1:40" s="3" customFormat="1" ht="13.15" customHeight="1">
      <c r="A42" s="290"/>
      <c r="B42" s="1863" t="s">
        <v>1352</v>
      </c>
      <c r="C42" s="1863"/>
      <c r="D42" s="1864"/>
      <c r="E42" s="1866" t="s">
        <v>1353</v>
      </c>
      <c r="F42" s="1867"/>
      <c r="G42" s="1867"/>
      <c r="H42" s="1867"/>
      <c r="I42" s="1867"/>
      <c r="J42" s="1868"/>
      <c r="K42" s="1869" t="s">
        <v>1354</v>
      </c>
      <c r="L42" s="1870"/>
      <c r="M42" s="1870"/>
      <c r="N42" s="1870"/>
      <c r="O42" s="1870"/>
      <c r="P42" s="1871"/>
      <c r="Q42" s="1872"/>
      <c r="R42" s="1616"/>
      <c r="S42" s="1616"/>
      <c r="T42" s="1616"/>
      <c r="U42" s="1873"/>
      <c r="V42" s="1874" t="s">
        <v>1355</v>
      </c>
      <c r="W42" s="1875"/>
      <c r="X42" s="1875"/>
      <c r="Y42" s="1876"/>
      <c r="Z42" s="1880" t="s">
        <v>1356</v>
      </c>
      <c r="AA42" s="1880"/>
      <c r="AB42" s="1880"/>
      <c r="AC42" s="1880"/>
      <c r="AD42" s="1880"/>
      <c r="AE42" s="1880"/>
      <c r="AF42" s="223"/>
      <c r="AG42" s="262"/>
      <c r="AH42" s="286"/>
      <c r="AI42" s="1845"/>
      <c r="AJ42" s="1845"/>
      <c r="AK42" s="1845"/>
      <c r="AL42" s="263"/>
      <c r="AM42" s="263"/>
      <c r="AN42" s="263"/>
    </row>
    <row r="43" spans="1:40" s="3" customFormat="1" ht="12" customHeight="1">
      <c r="A43" s="291" t="s">
        <v>1357</v>
      </c>
      <c r="B43" s="1863"/>
      <c r="C43" s="1863"/>
      <c r="D43" s="1864"/>
      <c r="E43" s="292" t="s">
        <v>1357</v>
      </c>
      <c r="F43" s="1846" t="s">
        <v>1358</v>
      </c>
      <c r="G43" s="1846"/>
      <c r="H43" s="1846"/>
      <c r="I43" s="1846"/>
      <c r="J43" s="293"/>
      <c r="K43" s="294" t="s">
        <v>1357</v>
      </c>
      <c r="L43" s="1848" t="s">
        <v>1358</v>
      </c>
      <c r="M43" s="1848"/>
      <c r="N43" s="1848"/>
      <c r="O43" s="1848"/>
      <c r="P43" s="295"/>
      <c r="Q43" s="296" t="s">
        <v>1357</v>
      </c>
      <c r="R43" s="1848" t="s">
        <v>1358</v>
      </c>
      <c r="S43" s="1848"/>
      <c r="T43" s="1848"/>
      <c r="U43" s="1850"/>
      <c r="V43" s="1874"/>
      <c r="W43" s="1875"/>
      <c r="X43" s="1875"/>
      <c r="Y43" s="1876"/>
      <c r="Z43" s="1880"/>
      <c r="AA43" s="1880"/>
      <c r="AB43" s="1880"/>
      <c r="AC43" s="1880"/>
      <c r="AD43" s="1880"/>
      <c r="AE43" s="1880"/>
      <c r="AF43" s="604" t="str">
        <f>IF(V40="","←通信制の修業年限を選択してください。",IF(V40="選択↓","←通信制の修業年限を選択してください。",""))</f>
        <v>←通信制の修業年限を選択してください。</v>
      </c>
      <c r="AG43" s="262"/>
      <c r="AH43" s="286"/>
      <c r="AI43" s="286"/>
      <c r="AJ43" s="286"/>
      <c r="AK43" s="286"/>
      <c r="AL43" s="263"/>
      <c r="AM43" s="263"/>
      <c r="AN43" s="263"/>
    </row>
    <row r="44" spans="1:40" s="3" customFormat="1" ht="24" customHeight="1" thickBot="1">
      <c r="A44" s="297"/>
      <c r="B44" s="1865"/>
      <c r="C44" s="1865"/>
      <c r="D44" s="1865"/>
      <c r="E44" s="600">
        <f>IF($Z$10="通信制",1,
IF(AND($Z$10="↑④に変更がある場合は選択",$Z$9="通信制"),1,
IF($Z$10="通/専攻科",1,
IF(AND($Z$10="↑④に変更がある場合は選択",$Z$9="通/専攻科"),1,
2))))</f>
        <v>2</v>
      </c>
      <c r="F44" s="1847"/>
      <c r="G44" s="1847"/>
      <c r="H44" s="1847"/>
      <c r="I44" s="1847"/>
      <c r="J44" s="298"/>
      <c r="K44" s="297"/>
      <c r="L44" s="1849"/>
      <c r="M44" s="1849"/>
      <c r="N44" s="1849"/>
      <c r="O44" s="1849"/>
      <c r="P44" s="299"/>
      <c r="Q44" s="297"/>
      <c r="R44" s="1849"/>
      <c r="S44" s="1849"/>
      <c r="T44" s="1849"/>
      <c r="U44" s="1851"/>
      <c r="V44" s="1877"/>
      <c r="W44" s="1878"/>
      <c r="X44" s="1878"/>
      <c r="Y44" s="1879"/>
      <c r="Z44" s="1880"/>
      <c r="AA44" s="1880"/>
      <c r="AB44" s="1880"/>
      <c r="AC44" s="1880"/>
      <c r="AD44" s="1880"/>
      <c r="AE44" s="1880"/>
      <c r="AF44" s="1438"/>
      <c r="AG44" s="262"/>
      <c r="AH44" s="286"/>
      <c r="AI44" s="286"/>
      <c r="AJ44" s="286"/>
      <c r="AK44" s="286"/>
      <c r="AL44" s="263"/>
      <c r="AM44" s="263"/>
      <c r="AN44" s="263"/>
    </row>
    <row r="45" spans="1:40" s="306" customFormat="1" ht="5.0999999999999996" customHeight="1">
      <c r="A45" s="300"/>
      <c r="B45" s="301"/>
      <c r="C45" s="1852"/>
      <c r="D45" s="1852"/>
      <c r="E45" s="1853"/>
      <c r="F45" s="1852"/>
      <c r="G45" s="1852"/>
      <c r="H45" s="1852"/>
      <c r="I45" s="1852"/>
      <c r="J45" s="1852"/>
      <c r="K45" s="1853"/>
      <c r="L45" s="1852"/>
      <c r="M45" s="1852"/>
      <c r="N45" s="1852"/>
      <c r="O45" s="1852"/>
      <c r="P45" s="1852"/>
      <c r="Q45" s="1853"/>
      <c r="R45" s="1852"/>
      <c r="S45" s="1852"/>
      <c r="T45" s="1852"/>
      <c r="U45" s="1852"/>
      <c r="V45" s="1852"/>
      <c r="W45" s="302"/>
      <c r="X45" s="302"/>
      <c r="Y45" s="302"/>
      <c r="Z45" s="303"/>
      <c r="AA45" s="302"/>
      <c r="AB45" s="302"/>
      <c r="AC45" s="302"/>
      <c r="AD45" s="302"/>
      <c r="AE45" s="302"/>
      <c r="AF45" s="1438"/>
      <c r="AG45" s="262"/>
      <c r="AH45" s="304"/>
      <c r="AI45" s="304"/>
      <c r="AJ45" s="304"/>
      <c r="AK45" s="305"/>
      <c r="AL45" s="304"/>
      <c r="AM45" s="304"/>
      <c r="AN45" s="304"/>
    </row>
    <row r="46" spans="1:40" s="306" customFormat="1" ht="5.0999999999999996" customHeight="1">
      <c r="A46" s="300"/>
      <c r="B46" s="300"/>
      <c r="C46" s="307"/>
      <c r="D46" s="307"/>
      <c r="E46" s="307"/>
      <c r="F46" s="307"/>
      <c r="G46" s="307"/>
      <c r="H46" s="307"/>
      <c r="I46" s="307"/>
      <c r="J46" s="307"/>
      <c r="K46" s="307"/>
      <c r="L46" s="307"/>
      <c r="M46" s="307"/>
      <c r="N46" s="307"/>
      <c r="O46" s="307"/>
      <c r="P46" s="307"/>
      <c r="Q46" s="307"/>
      <c r="R46" s="307"/>
      <c r="S46" s="307"/>
      <c r="T46" s="307"/>
      <c r="U46" s="307"/>
      <c r="V46" s="307"/>
      <c r="W46" s="302"/>
      <c r="X46" s="302"/>
      <c r="Y46" s="302"/>
      <c r="Z46" s="303"/>
      <c r="AA46" s="302"/>
      <c r="AB46" s="302"/>
      <c r="AC46" s="302"/>
      <c r="AD46" s="302"/>
      <c r="AE46" s="302"/>
      <c r="AF46" s="605"/>
      <c r="AG46" s="262"/>
      <c r="AH46" s="304"/>
      <c r="AI46" s="304"/>
      <c r="AJ46" s="304"/>
      <c r="AK46" s="305"/>
      <c r="AL46" s="304"/>
      <c r="AM46" s="304"/>
      <c r="AN46" s="304"/>
    </row>
    <row r="47" spans="1:40" s="4" customFormat="1" ht="11.25" customHeight="1">
      <c r="A47" s="308"/>
      <c r="B47" s="309"/>
      <c r="C47" s="310"/>
      <c r="D47" s="310"/>
      <c r="E47" s="310"/>
      <c r="F47" s="310"/>
      <c r="G47" s="310"/>
      <c r="H47" s="310"/>
      <c r="I47" s="310"/>
      <c r="J47" s="310"/>
      <c r="K47" s="310"/>
      <c r="L47" s="310"/>
      <c r="M47" s="310"/>
      <c r="N47" s="310"/>
      <c r="O47" s="310"/>
      <c r="P47" s="310"/>
      <c r="Q47" s="311"/>
      <c r="R47" s="311"/>
      <c r="S47" s="311"/>
      <c r="T47" s="311"/>
      <c r="U47" s="311"/>
      <c r="V47" s="311"/>
      <c r="W47" s="311"/>
      <c r="X47" s="311"/>
      <c r="Y47" s="311"/>
      <c r="Z47" s="311"/>
      <c r="AA47" s="311"/>
      <c r="AB47" s="311"/>
      <c r="AC47" s="311"/>
      <c r="AD47" s="311"/>
      <c r="AE47" s="311"/>
      <c r="AF47" s="224"/>
      <c r="AG47" s="262"/>
      <c r="AH47" s="312"/>
      <c r="AJ47" s="312"/>
      <c r="AK47" s="313"/>
      <c r="AL47" s="312"/>
      <c r="AM47" s="312"/>
      <c r="AN47" s="312"/>
    </row>
    <row r="48" spans="1:40" s="4" customFormat="1" ht="27" customHeight="1">
      <c r="A48" s="314"/>
      <c r="B48" s="309"/>
      <c r="C48" s="315"/>
      <c r="D48" s="315"/>
      <c r="E48" s="315"/>
      <c r="F48" s="315"/>
      <c r="G48" s="315"/>
      <c r="H48" s="1856" t="s">
        <v>1359</v>
      </c>
      <c r="I48" s="1856"/>
      <c r="J48" s="1856"/>
      <c r="K48" s="1856"/>
      <c r="L48" s="1856"/>
      <c r="M48" s="1856"/>
      <c r="N48" s="1856"/>
      <c r="O48" s="1856"/>
      <c r="P48" s="1856"/>
      <c r="Q48" s="1856"/>
      <c r="R48" s="1856"/>
      <c r="S48" s="1856"/>
      <c r="T48" s="1856"/>
      <c r="U48" s="1856"/>
      <c r="V48" s="1856"/>
      <c r="W48" s="1856"/>
      <c r="X48" s="1856"/>
      <c r="Y48" s="316"/>
      <c r="Z48" s="316"/>
      <c r="AA48" s="316"/>
      <c r="AB48" s="316"/>
      <c r="AC48" s="316"/>
      <c r="AD48" s="316"/>
      <c r="AE48" s="316"/>
      <c r="AF48" s="224"/>
      <c r="AG48" s="317" t="str">
        <f>IF(OR(AND(OR($AB$11="有",$A$34="✔"),$Z$10="通信制"),
AND(OR($AB$11="有",$A$34="✔"),OR($Z$10="↑④に変更がある場合は選択",$Z$10=""),$Z$9="通信制")),"本票ⅡⅢ回答必要",
IF(OR(AND(OR($AB$11="有",$A$34="✔"),$Z$10="通/専攻科"),
AND(OR($AB$11="有",$A$34="✔"),OR($Z$10="↑④に変更がある場合は選択",$Z$10=""),$Z$9="通/専攻科")),"本票ⅠⅡⅢ回答必要",
IF(AND(OR($AB$11="有",$A$34="✔"),OR($Z$10="全/通信制",$Z$10="定/通信制",$Z$10="全/定/通")),"本票ⅡⅢⅥ回答必要",
IF(AND(OR($AB$11="有",$A$34="✔"),OR($Z$10="↑④に変更がある場合は選択",$Z$10=""),OR($Z$9="全/通信制",$Z$9="定/通信制",$Z$9="全/定/通")),"本票ⅡⅢⅥ回答必要",
IF(AND(OR($AB$11="有",$A$34="✔"),OR($Z$10="全/通/専",$Z$10="全/定/通/専")),"本票ⅠⅡⅢⅥ回答必要",
IF(AND(OR($AB$11="有",$A$34="✔"),OR($Z$10="↑④に変更がある場合は選択",$Z$10=""),OR($Z$9="全/通/専",$Z$9="全/定/通/専")),"本票ⅠⅡⅢⅥ回答必要",
""))))))</f>
        <v/>
      </c>
      <c r="AH48" s="312"/>
      <c r="AJ48" s="312"/>
      <c r="AK48" s="313"/>
      <c r="AL48" s="312"/>
      <c r="AM48" s="312"/>
      <c r="AN48" s="312"/>
    </row>
    <row r="49" spans="1:40" s="4" customFormat="1" ht="11.25" customHeight="1">
      <c r="A49" s="314"/>
      <c r="B49" s="309"/>
      <c r="C49" s="318"/>
      <c r="D49" s="318"/>
      <c r="E49" s="318"/>
      <c r="F49" s="318"/>
      <c r="G49" s="318"/>
      <c r="H49" s="318"/>
      <c r="I49" s="318"/>
      <c r="J49" s="318"/>
      <c r="K49" s="318"/>
      <c r="L49" s="318"/>
      <c r="M49" s="318"/>
      <c r="N49" s="318"/>
      <c r="O49" s="318"/>
      <c r="P49" s="318"/>
      <c r="Q49" s="316"/>
      <c r="R49" s="316"/>
      <c r="S49" s="316"/>
      <c r="T49" s="316"/>
      <c r="U49" s="316"/>
      <c r="V49" s="316"/>
      <c r="W49" s="316"/>
      <c r="X49" s="316"/>
      <c r="Y49" s="316"/>
      <c r="Z49" s="316"/>
      <c r="AA49" s="316"/>
      <c r="AB49" s="316"/>
      <c r="AC49" s="316"/>
      <c r="AD49" s="316"/>
      <c r="AE49" s="316"/>
      <c r="AF49" s="601"/>
      <c r="AG49" s="262"/>
      <c r="AH49" s="312"/>
      <c r="AI49" s="319"/>
      <c r="AJ49" s="312"/>
      <c r="AK49" s="313"/>
      <c r="AL49" s="312"/>
      <c r="AM49" s="312"/>
      <c r="AN49" s="312"/>
    </row>
    <row r="50" spans="1:40" s="3" customFormat="1" ht="15" customHeight="1" thickBot="1">
      <c r="A50" s="320" t="s">
        <v>1360</v>
      </c>
      <c r="B50" s="321"/>
      <c r="C50" s="321"/>
      <c r="D50" s="321"/>
      <c r="E50" s="321"/>
      <c r="F50" s="321"/>
      <c r="G50" s="321"/>
      <c r="H50" s="321"/>
      <c r="I50" s="321"/>
      <c r="J50" s="321"/>
      <c r="K50" s="321"/>
      <c r="L50" s="287"/>
      <c r="M50" s="287"/>
      <c r="N50" s="287"/>
      <c r="O50" s="245"/>
      <c r="P50" s="322"/>
      <c r="Q50" s="323"/>
      <c r="R50" s="322"/>
      <c r="S50" s="322"/>
      <c r="T50" s="322"/>
      <c r="U50" s="322"/>
      <c r="V50" s="322"/>
      <c r="W50" s="324"/>
      <c r="X50" s="324"/>
      <c r="Y50" s="325" t="s">
        <v>7</v>
      </c>
      <c r="Z50" s="287"/>
      <c r="AA50" s="245"/>
      <c r="AB50" s="245"/>
      <c r="AC50" s="326"/>
      <c r="AD50" s="326"/>
      <c r="AE50" s="327"/>
      <c r="AF50" s="604"/>
      <c r="AG50" s="262"/>
      <c r="AH50" s="263"/>
      <c r="AI50" s="328"/>
      <c r="AJ50" s="263"/>
      <c r="AK50" s="264"/>
      <c r="AL50" s="263"/>
      <c r="AM50" s="263"/>
      <c r="AN50" s="263"/>
    </row>
    <row r="51" spans="1:40" s="3" customFormat="1" ht="15" customHeight="1">
      <c r="A51" s="1836" t="s">
        <v>1361</v>
      </c>
      <c r="B51" s="1728"/>
      <c r="C51" s="1728"/>
      <c r="D51" s="1716" t="s">
        <v>1362</v>
      </c>
      <c r="E51" s="1717"/>
      <c r="F51" s="1717"/>
      <c r="G51" s="1717"/>
      <c r="H51" s="1717"/>
      <c r="I51" s="1717"/>
      <c r="J51" s="1717"/>
      <c r="K51" s="1717"/>
      <c r="L51" s="1717"/>
      <c r="M51" s="1717"/>
      <c r="N51" s="1718"/>
      <c r="O51" s="1858" t="s">
        <v>1363</v>
      </c>
      <c r="P51" s="1731"/>
      <c r="Q51" s="1731"/>
      <c r="R51" s="1731"/>
      <c r="S51" s="1731"/>
      <c r="T51" s="1731"/>
      <c r="U51" s="1731"/>
      <c r="V51" s="1731"/>
      <c r="W51" s="1731"/>
      <c r="X51" s="1731"/>
      <c r="Y51" s="1859"/>
      <c r="Z51" s="329"/>
      <c r="AA51" s="1840" t="s">
        <v>1364</v>
      </c>
      <c r="AB51" s="1840"/>
      <c r="AC51" s="1840"/>
      <c r="AD51" s="1840"/>
      <c r="AE51" s="1840"/>
      <c r="AF51" s="1438" t="str">
        <f>IF(OR($AG$48="本票ⅡⅢ回答必要",$AG$48="本票ⅠⅡⅢ回答必要",$AG$48="本票ⅡⅢⅥ回答必要",$AG$48="本票ⅠⅡⅢⅥ回答必要"),"",
IF(COUNTA(B65,B67,B69,B71,D57:K72,O57:V72)=0,"←設置のある学科について、学年別定員数・在籍者数を記入してください。（いない場合には「0」を入力してください。）",
IF(SUM(D55,F55,H55,J55,)&lt;&gt;L55,"←定員人数計が学年別内訳計と一致しません。",
IF(SUM(D57,D59,D61,D63,D65,D67,D69,D71)&lt;&gt;D55,"←定員・1年計が学科別内訳計と一致しません。",
IF(SUM(F57,F59,F61,F63,F65,F67,F69,F71)&lt;&gt;F55,"←定員・2年計が学科別内訳計と一致しません。",
IF(SUM(H57,H59,H61,H63,H65,H67,H69,H71)&lt;&gt;H55,"←定員・3年計が学科別内訳計と一致しません。",
IF(SUM(J57,J59,J61,J63,J65,J67,J69,J71)&lt;&gt;J55,"←定員・4年計が学科別内訳計と一致しません。",
IF(SUM(O55,Q55,S55,U55)&lt;&gt;W55,"←在籍者数計が学年別内訳計と一致しません。",
IF(SUM(O57:P72)&lt;&gt;O55,"←在籍者・1年計が学科別内訳計と一致しません。",
IF(SUM(Q57:R72)&lt;&gt;Q55,"←在籍者・2年計が学科別内訳計と一致しません。",
IF(SUM(S57:T72)&lt;&gt;S55,"←在籍者・3年計が学科別内訳計と一致しません。",
IF(SUM(U57:V72)&lt;&gt;U55,"←在籍者・4年計が学科別内訳計と一致しません。",
""))))))))))))</f>
        <v>←設置のある学科について、学年別定員数・在籍者数を記入してください。（いない場合には「0」を入力してください。）</v>
      </c>
      <c r="AG51" s="262"/>
      <c r="AH51" s="263"/>
      <c r="AI51" s="328"/>
      <c r="AJ51" s="263"/>
      <c r="AK51" s="264"/>
      <c r="AL51" s="263"/>
      <c r="AM51" s="263"/>
    </row>
    <row r="52" spans="1:40" s="3" customFormat="1" ht="7.5" customHeight="1">
      <c r="A52" s="1857"/>
      <c r="B52" s="1775"/>
      <c r="C52" s="1775"/>
      <c r="D52" s="1841" t="s">
        <v>1227</v>
      </c>
      <c r="E52" s="1842"/>
      <c r="F52" s="1842" t="s">
        <v>1228</v>
      </c>
      <c r="G52" s="1842"/>
      <c r="H52" s="1842" t="s">
        <v>1229</v>
      </c>
      <c r="I52" s="1842"/>
      <c r="J52" s="1842" t="s">
        <v>1230</v>
      </c>
      <c r="K52" s="1842"/>
      <c r="L52" s="1842" t="s">
        <v>9</v>
      </c>
      <c r="M52" s="1842"/>
      <c r="N52" s="1854"/>
      <c r="O52" s="1841" t="s">
        <v>1227</v>
      </c>
      <c r="P52" s="1842"/>
      <c r="Q52" s="1842" t="s">
        <v>1228</v>
      </c>
      <c r="R52" s="1842"/>
      <c r="S52" s="1842" t="s">
        <v>1229</v>
      </c>
      <c r="T52" s="1842"/>
      <c r="U52" s="1842" t="s">
        <v>1230</v>
      </c>
      <c r="V52" s="1842"/>
      <c r="W52" s="1842" t="s">
        <v>9</v>
      </c>
      <c r="X52" s="1842"/>
      <c r="Y52" s="1854"/>
      <c r="Z52" s="329"/>
      <c r="AA52" s="1840"/>
      <c r="AB52" s="1840"/>
      <c r="AC52" s="1840"/>
      <c r="AD52" s="1840"/>
      <c r="AE52" s="1840"/>
      <c r="AF52" s="1438"/>
      <c r="AG52" s="262"/>
      <c r="AH52" s="263"/>
      <c r="AI52" s="328"/>
      <c r="AJ52" s="263"/>
      <c r="AK52" s="264"/>
      <c r="AL52" s="263"/>
      <c r="AM52" s="263"/>
    </row>
    <row r="53" spans="1:40" s="3" customFormat="1" ht="7.9" customHeight="1">
      <c r="A53" s="1857"/>
      <c r="B53" s="1775"/>
      <c r="C53" s="1775"/>
      <c r="D53" s="1841"/>
      <c r="E53" s="1842"/>
      <c r="F53" s="1842"/>
      <c r="G53" s="1842"/>
      <c r="H53" s="1842"/>
      <c r="I53" s="1842"/>
      <c r="J53" s="1842"/>
      <c r="K53" s="1842"/>
      <c r="L53" s="1842"/>
      <c r="M53" s="1842"/>
      <c r="N53" s="1854"/>
      <c r="O53" s="1841"/>
      <c r="P53" s="1842"/>
      <c r="Q53" s="1842"/>
      <c r="R53" s="1842"/>
      <c r="S53" s="1842"/>
      <c r="T53" s="1842"/>
      <c r="U53" s="1842"/>
      <c r="V53" s="1842"/>
      <c r="W53" s="1842"/>
      <c r="X53" s="1842"/>
      <c r="Y53" s="1854"/>
      <c r="Z53" s="329"/>
      <c r="AA53" s="1840"/>
      <c r="AB53" s="1840"/>
      <c r="AC53" s="1840"/>
      <c r="AD53" s="1840"/>
      <c r="AE53" s="1840"/>
      <c r="AF53" s="1438"/>
      <c r="AG53" s="262"/>
      <c r="AH53" s="263"/>
      <c r="AI53" s="328"/>
      <c r="AJ53" s="263"/>
      <c r="AK53" s="264"/>
      <c r="AL53" s="263"/>
      <c r="AM53" s="263"/>
    </row>
    <row r="54" spans="1:40" s="3" customFormat="1" ht="20.100000000000001" customHeight="1" thickBot="1">
      <c r="A54" s="1857"/>
      <c r="B54" s="1775"/>
      <c r="C54" s="1775"/>
      <c r="D54" s="1843"/>
      <c r="E54" s="1844"/>
      <c r="F54" s="1844"/>
      <c r="G54" s="1844"/>
      <c r="H54" s="1844"/>
      <c r="I54" s="1844"/>
      <c r="J54" s="1844"/>
      <c r="K54" s="1844"/>
      <c r="L54" s="1844"/>
      <c r="M54" s="1844"/>
      <c r="N54" s="1855"/>
      <c r="O54" s="1843"/>
      <c r="P54" s="1844"/>
      <c r="Q54" s="1844"/>
      <c r="R54" s="1844"/>
      <c r="S54" s="1844"/>
      <c r="T54" s="1844"/>
      <c r="U54" s="1844"/>
      <c r="V54" s="1844"/>
      <c r="W54" s="1844"/>
      <c r="X54" s="1844"/>
      <c r="Y54" s="1855"/>
      <c r="Z54" s="329"/>
      <c r="AA54" s="1840"/>
      <c r="AB54" s="1840"/>
      <c r="AC54" s="1840"/>
      <c r="AD54" s="1840"/>
      <c r="AE54" s="1840"/>
      <c r="AF54" s="1438"/>
      <c r="AG54" s="262"/>
      <c r="AH54" s="263"/>
      <c r="AI54" s="328"/>
      <c r="AJ54" s="263"/>
      <c r="AK54" s="264"/>
      <c r="AL54" s="263"/>
      <c r="AM54" s="263"/>
    </row>
    <row r="55" spans="1:40" s="3" customFormat="1" ht="22.5" customHeight="1">
      <c r="A55" s="1836" t="s">
        <v>9</v>
      </c>
      <c r="B55" s="1728"/>
      <c r="C55" s="1837"/>
      <c r="D55" s="1833">
        <f>SUM(D57:E72)</f>
        <v>0</v>
      </c>
      <c r="E55" s="1832"/>
      <c r="F55" s="1832">
        <f>SUM(F57:G72)</f>
        <v>0</v>
      </c>
      <c r="G55" s="1832"/>
      <c r="H55" s="1832">
        <f>SUM(H57:I72)</f>
        <v>0</v>
      </c>
      <c r="I55" s="1832"/>
      <c r="J55" s="1832">
        <f>SUM(J57:K72)</f>
        <v>0</v>
      </c>
      <c r="K55" s="1832"/>
      <c r="L55" s="1832">
        <f>SUM(D55:K56)</f>
        <v>0</v>
      </c>
      <c r="M55" s="1832"/>
      <c r="N55" s="1835"/>
      <c r="O55" s="1828">
        <f>SUM(O57:P72)</f>
        <v>0</v>
      </c>
      <c r="P55" s="1829"/>
      <c r="Q55" s="1832">
        <f t="shared" ref="Q55" si="0">SUM(Q57:R72)</f>
        <v>0</v>
      </c>
      <c r="R55" s="1832"/>
      <c r="S55" s="1832">
        <f t="shared" ref="S55" si="1">SUM(S57:T72)</f>
        <v>0</v>
      </c>
      <c r="T55" s="1832"/>
      <c r="U55" s="1833">
        <f t="shared" ref="U55" si="2">SUM(U57:V72)</f>
        <v>0</v>
      </c>
      <c r="V55" s="1829"/>
      <c r="W55" s="1832">
        <f>SUM(O55:V56)</f>
        <v>0</v>
      </c>
      <c r="X55" s="1832"/>
      <c r="Y55" s="1835"/>
      <c r="Z55" s="329"/>
      <c r="AA55" s="1820" t="s">
        <v>1365</v>
      </c>
      <c r="AB55" s="1820"/>
      <c r="AC55" s="1818"/>
      <c r="AD55" s="1819"/>
      <c r="AE55" s="330" t="s">
        <v>17</v>
      </c>
      <c r="AF55" s="606" t="str">
        <f>IF(OR($AG$48="本票ⅡⅢ回答必要",$AG$48="本票ⅡⅢⅥ回答必要"),"",
IF(OR(AND(Q44=1,AC55=""),AND(Q44=2,AC56=""),AND(Q44=3,OR(AC55="",AC56="")),AND(Q44="",OR(AC55="",AC56=""))),"←男女別生徒数を記入してください。",
IF(SUM(AC55+AC56)&lt;&gt;W55,"←男女別生徒数計が現員総数と一致しません。",
"")))</f>
        <v>←男女別生徒数を記入してください。</v>
      </c>
      <c r="AG55" s="331"/>
      <c r="AH55" s="263"/>
      <c r="AI55" s="263"/>
      <c r="AJ55" s="263"/>
      <c r="AK55" s="264"/>
      <c r="AL55" s="263"/>
      <c r="AM55" s="263"/>
      <c r="AN55" s="263"/>
    </row>
    <row r="56" spans="1:40" s="3" customFormat="1" ht="22.5" customHeight="1" thickBot="1">
      <c r="A56" s="1838"/>
      <c r="B56" s="1755"/>
      <c r="C56" s="1839"/>
      <c r="D56" s="1834"/>
      <c r="E56" s="1796"/>
      <c r="F56" s="1796"/>
      <c r="G56" s="1796"/>
      <c r="H56" s="1796"/>
      <c r="I56" s="1796"/>
      <c r="J56" s="1796"/>
      <c r="K56" s="1796"/>
      <c r="L56" s="1796"/>
      <c r="M56" s="1796"/>
      <c r="N56" s="1797"/>
      <c r="O56" s="1830"/>
      <c r="P56" s="1831"/>
      <c r="Q56" s="1796"/>
      <c r="R56" s="1796"/>
      <c r="S56" s="1796"/>
      <c r="T56" s="1796"/>
      <c r="U56" s="1834"/>
      <c r="V56" s="1831"/>
      <c r="W56" s="1796"/>
      <c r="X56" s="1796"/>
      <c r="Y56" s="1797"/>
      <c r="Z56" s="329"/>
      <c r="AA56" s="1820" t="s">
        <v>1366</v>
      </c>
      <c r="AB56" s="1820"/>
      <c r="AC56" s="1821"/>
      <c r="AD56" s="1822"/>
      <c r="AE56" s="330" t="s">
        <v>17</v>
      </c>
      <c r="AF56" s="604"/>
      <c r="AG56" s="332"/>
      <c r="AH56" s="263"/>
      <c r="AI56" s="263"/>
      <c r="AJ56" s="263"/>
      <c r="AK56" s="264"/>
      <c r="AL56" s="263"/>
      <c r="AM56" s="263"/>
      <c r="AN56" s="263"/>
    </row>
    <row r="57" spans="1:40" s="3" customFormat="1" ht="22.5" customHeight="1">
      <c r="A57" s="1823" t="s">
        <v>1367</v>
      </c>
      <c r="B57" s="1824"/>
      <c r="C57" s="1824"/>
      <c r="D57" s="1827"/>
      <c r="E57" s="1817"/>
      <c r="F57" s="1817"/>
      <c r="G57" s="1817"/>
      <c r="H57" s="1817"/>
      <c r="I57" s="1817"/>
      <c r="J57" s="1817"/>
      <c r="K57" s="1817"/>
      <c r="L57" s="1802">
        <f>SUM(D57:K58)</f>
        <v>0</v>
      </c>
      <c r="M57" s="1802"/>
      <c r="N57" s="1803"/>
      <c r="O57" s="1827"/>
      <c r="P57" s="1817"/>
      <c r="Q57" s="1817"/>
      <c r="R57" s="1817"/>
      <c r="S57" s="1817"/>
      <c r="T57" s="1817"/>
      <c r="U57" s="1817"/>
      <c r="V57" s="1817"/>
      <c r="W57" s="1802">
        <f>SUM(O57:V58)</f>
        <v>0</v>
      </c>
      <c r="X57" s="1802"/>
      <c r="Y57" s="1803"/>
      <c r="Z57" s="329"/>
      <c r="AA57" s="329"/>
      <c r="AB57" s="329"/>
      <c r="AC57" s="329"/>
      <c r="AD57" s="329"/>
      <c r="AE57" s="329"/>
      <c r="AF57" s="606" t="str">
        <f>IF(OR($AG$48="本票ⅡⅢ回答必要",$AG$48="本票ⅠⅡⅢ回答必要",$AG$48="本票ⅡⅢⅥ回答必要",$AG$48="本票ⅠⅡⅢⅥ回答必要"),"",
IF(AG57=0,"",
IF(AND(D57="",F57="",H57="",J57=""),"←学年別定員数を記入してください。（いない場合には「0」を入力してください。）",
IF(D57="","←１年の定員が未記入です。（募集停止校の場合は「0」を入力してください。）",
IF(F57="","←２年の定員が未記入です。（不在の場合は「0」を入力してください。）",
IF(H57="","←３年の定員が未記入です。（不在の場合は「0」を入力してください。）",
IF(J57="","←４年の定員が未記入です。（不在の場合は「0」を入力してください。）",
IF(SUM(D57,F57,H57,J57,)&lt;&gt;L57,"←定員人数計が学年別内訳計と一致しません。",
""))))))))</f>
        <v/>
      </c>
      <c r="AG57" s="333">
        <f>COUNTA(D57:K58,O57:V58)</f>
        <v>0</v>
      </c>
      <c r="AH57" s="263"/>
      <c r="AI57" s="263"/>
      <c r="AJ57" s="263"/>
      <c r="AK57" s="264"/>
      <c r="AL57" s="263"/>
      <c r="AM57" s="263"/>
      <c r="AN57" s="263"/>
    </row>
    <row r="58" spans="1:40" s="3" customFormat="1" ht="22.5" customHeight="1">
      <c r="A58" s="1825"/>
      <c r="B58" s="1826"/>
      <c r="C58" s="1826"/>
      <c r="D58" s="1790"/>
      <c r="E58" s="1791"/>
      <c r="F58" s="1791"/>
      <c r="G58" s="1791"/>
      <c r="H58" s="1791"/>
      <c r="I58" s="1791"/>
      <c r="J58" s="1791"/>
      <c r="K58" s="1791"/>
      <c r="L58" s="1794"/>
      <c r="M58" s="1794"/>
      <c r="N58" s="1795"/>
      <c r="O58" s="1790"/>
      <c r="P58" s="1791"/>
      <c r="Q58" s="1791"/>
      <c r="R58" s="1791"/>
      <c r="S58" s="1791"/>
      <c r="T58" s="1791"/>
      <c r="U58" s="1791"/>
      <c r="V58" s="1791"/>
      <c r="W58" s="1794"/>
      <c r="X58" s="1794"/>
      <c r="Y58" s="1795"/>
      <c r="Z58" s="329"/>
      <c r="AA58" s="329"/>
      <c r="AB58" s="329"/>
      <c r="AC58" s="329"/>
      <c r="AD58" s="329"/>
      <c r="AE58" s="329"/>
      <c r="AF58" s="606" t="str">
        <f>IF(OR($AG$48="本票ⅡⅢ回答必要",$AG$48="本票ⅠⅡⅢ回答必要",$AG$48="本票ⅡⅢⅥ回答必要",$AG$48="本票ⅠⅡⅢⅥ回答必要"),"",
IF(AG57=0,"",
IF(AND(O57="",Q57="",S57="",U57=""),"←学年別在籍者数を記入してください。（いない場合には「0」を入力してください。）",
IF(O57="","←１年の在籍者数が未記入です。（募集停止校の場合は「0」を入力してください。）",
IF(Q57="","←２年の在籍者数が未記入です。（不在の場合は「0」を入力してください。）",
IF(S57="","←３年の在籍者数が未記入です。（不在の場合は「0」を入力してください。）",
IF(U57="","←４年の在籍者数が未記入です。（不在の場合は「0」を入力してください。）",
IF(SUM(O57,Q57,S57,U57,)&lt;&gt;W57,"←在籍者数計が学年別内訳計と一致しません。",
""))))))))</f>
        <v/>
      </c>
      <c r="AG58" s="333"/>
      <c r="AH58" s="263"/>
      <c r="AI58" s="263"/>
      <c r="AJ58" s="263"/>
      <c r="AK58" s="264"/>
      <c r="AL58" s="263"/>
      <c r="AM58" s="263"/>
      <c r="AN58" s="263"/>
    </row>
    <row r="59" spans="1:40" s="3" customFormat="1" ht="22.5" customHeight="1">
      <c r="A59" s="1806" t="s">
        <v>1368</v>
      </c>
      <c r="B59" s="1807"/>
      <c r="C59" s="1807"/>
      <c r="D59" s="1790"/>
      <c r="E59" s="1791"/>
      <c r="F59" s="1791"/>
      <c r="G59" s="1791"/>
      <c r="H59" s="1791"/>
      <c r="I59" s="1791"/>
      <c r="J59" s="1791"/>
      <c r="K59" s="1791"/>
      <c r="L59" s="1794">
        <f t="shared" ref="L59" si="3">SUM(D59:K60)</f>
        <v>0</v>
      </c>
      <c r="M59" s="1794"/>
      <c r="N59" s="1795"/>
      <c r="O59" s="1790"/>
      <c r="P59" s="1791"/>
      <c r="Q59" s="1791"/>
      <c r="R59" s="1791"/>
      <c r="S59" s="1791"/>
      <c r="T59" s="1791"/>
      <c r="U59" s="1791"/>
      <c r="V59" s="1791"/>
      <c r="W59" s="1802">
        <f>SUM(O59:V60)</f>
        <v>0</v>
      </c>
      <c r="X59" s="1802"/>
      <c r="Y59" s="1803"/>
      <c r="Z59" s="329"/>
      <c r="AA59" s="329"/>
      <c r="AB59" s="329"/>
      <c r="AC59" s="329"/>
      <c r="AD59" s="329"/>
      <c r="AE59" s="329"/>
      <c r="AF59" s="606" t="str">
        <f>IF(OR($AG$48="本票ⅡⅢ回答必要",$AG$48="本票ⅠⅡⅢ回答必要",$AG$48="本票ⅡⅢⅥ回答必要",$AG$48="本票ⅠⅡⅢⅥ回答必要"),"",
IF(AG59=0,"",
IF(AND(D59="",F59="",H59="",J59=""),"←学年別定員数を記入してください。（いない場合には「0」を入力してください。）",
IF(D59="","←１年の定員が未記入です。（募集停止校の場合は「0」を入力してください。）",
IF(F59="","←２年の定員が未記入です。（不在の場合は「0」を入力してください。）",
IF(H59="","←３年の定員が未記入です。（不在の場合は「0」を入力してください。）",
IF(J59="","←４年の定員が未記入です。（不在の場合は「0」を入力してください。）",
IF(SUM(D59,F59,H59,J59,)&lt;&gt;L59,"←定員人数計が学年別内訳計と一致しません。",
""))))))))</f>
        <v/>
      </c>
      <c r="AG59" s="333">
        <f>COUNTA(D59:K60,O59:V60)</f>
        <v>0</v>
      </c>
      <c r="AH59" s="263"/>
      <c r="AI59" s="263"/>
      <c r="AJ59" s="263"/>
      <c r="AK59" s="264"/>
      <c r="AL59" s="263"/>
      <c r="AM59" s="263"/>
      <c r="AN59" s="263"/>
    </row>
    <row r="60" spans="1:40" s="3" customFormat="1" ht="22.5" customHeight="1">
      <c r="A60" s="1808"/>
      <c r="B60" s="1809"/>
      <c r="C60" s="1809"/>
      <c r="D60" s="1790"/>
      <c r="E60" s="1791"/>
      <c r="F60" s="1791"/>
      <c r="G60" s="1791"/>
      <c r="H60" s="1791"/>
      <c r="I60" s="1791"/>
      <c r="J60" s="1791"/>
      <c r="K60" s="1791"/>
      <c r="L60" s="1794"/>
      <c r="M60" s="1794"/>
      <c r="N60" s="1795"/>
      <c r="O60" s="1790"/>
      <c r="P60" s="1791"/>
      <c r="Q60" s="1791"/>
      <c r="R60" s="1791"/>
      <c r="S60" s="1791"/>
      <c r="T60" s="1791"/>
      <c r="U60" s="1791"/>
      <c r="V60" s="1791"/>
      <c r="W60" s="1794"/>
      <c r="X60" s="1794"/>
      <c r="Y60" s="1795"/>
      <c r="Z60" s="329"/>
      <c r="AA60" s="329"/>
      <c r="AB60" s="329"/>
      <c r="AC60" s="329"/>
      <c r="AD60" s="329"/>
      <c r="AE60" s="329"/>
      <c r="AF60" s="606" t="str">
        <f>IF(OR($AG$48="本票ⅡⅢ回答必要",$AG$48="本票ⅠⅡⅢ回答必要",$AG$48="本票ⅡⅢⅥ回答必要",$AG$48="本票ⅠⅡⅢⅥ回答必要"),"",
IF(AG59=0,"",
IF(AND(O59="",Q59="",S59="",U59=""),"←学年別在籍者数を記入してください。（いない場合には「0」を入力してください。）",
IF(O59="","←１年の在籍者数が未記入です。（募集停止校の場合は「0」を入力してください。）",
IF(Q59="","←２年の在籍者数が未記入です。（不在の場合は「0」を入力してください。）",
IF(S59="","←３年の在籍者数が未記入です。（不在の場合は「0」を入力してください。）",
IF(U59="","←４年の在籍者数が未記入です。（不在の場合は「0」を入力してください。）",
IF(SUM(O59,Q59,S59,U59,)&lt;&gt;W59,"←在籍者数計が学年別内訳計と一致しません。",
""))))))))</f>
        <v/>
      </c>
      <c r="AG60" s="333"/>
      <c r="AH60" s="263"/>
      <c r="AI60" s="263"/>
      <c r="AJ60" s="263"/>
      <c r="AK60" s="264"/>
      <c r="AL60" s="263"/>
      <c r="AM60" s="263"/>
      <c r="AN60" s="263"/>
    </row>
    <row r="61" spans="1:40" s="3" customFormat="1" ht="22.5" customHeight="1">
      <c r="A61" s="1810" t="s">
        <v>1369</v>
      </c>
      <c r="B61" s="1811"/>
      <c r="C61" s="1811"/>
      <c r="D61" s="1790"/>
      <c r="E61" s="1791"/>
      <c r="F61" s="1791"/>
      <c r="G61" s="1791"/>
      <c r="H61" s="1791"/>
      <c r="I61" s="1791"/>
      <c r="J61" s="1791"/>
      <c r="K61" s="1791"/>
      <c r="L61" s="1794">
        <f t="shared" ref="L61" si="4">SUM(D61:K62)</f>
        <v>0</v>
      </c>
      <c r="M61" s="1794"/>
      <c r="N61" s="1795"/>
      <c r="O61" s="1790"/>
      <c r="P61" s="1791"/>
      <c r="Q61" s="1791"/>
      <c r="R61" s="1791"/>
      <c r="S61" s="1791"/>
      <c r="T61" s="1791"/>
      <c r="U61" s="1791"/>
      <c r="V61" s="1791"/>
      <c r="W61" s="1802">
        <f>SUM(O61:V62)</f>
        <v>0</v>
      </c>
      <c r="X61" s="1802"/>
      <c r="Y61" s="1803"/>
      <c r="Z61" s="329"/>
      <c r="AA61" s="329"/>
      <c r="AB61" s="329"/>
      <c r="AC61" s="329"/>
      <c r="AD61" s="329"/>
      <c r="AE61" s="329"/>
      <c r="AF61" s="606" t="str">
        <f>IF(OR($AG$48="本票ⅡⅢ回答必要",$AG$48="本票ⅠⅡⅢ回答必要",$AG$48="本票ⅡⅢⅥ回答必要",$AG$48="本票ⅠⅡⅢⅥ回答必要"),"",
IF(AG61=0,"",
IF(AND(D61="",F61="",H61="",J61=""),"←学年別定員数を記入してください。（いない場合には「0」を入力してください。）",
IF(D61="","←１年の定員が未記入です。（募集停止校の場合は「0」を入力してください。）",
IF(F61="","←２年の定員が未記入です。（不在の場合は「0」を入力してください。）",
IF(H61="","←３年の定員が未記入です。（不在の場合は「0」を入力してください。）",
IF(J61="","←４年の定員が未記入です。（不在の場合は「0」を入力してください。）",
IF(SUM(D61,F61,H61,J61,)&lt;&gt;L61,"←定員人数計が学年別内訳計と一致しません。",
""))))))))</f>
        <v/>
      </c>
      <c r="AG61" s="333">
        <f>COUNTA(D61:K62,O61:V62)</f>
        <v>0</v>
      </c>
      <c r="AH61" s="263"/>
      <c r="AI61" s="263"/>
      <c r="AJ61" s="263"/>
      <c r="AK61" s="264"/>
      <c r="AL61" s="263"/>
      <c r="AM61" s="263"/>
      <c r="AN61" s="263"/>
    </row>
    <row r="62" spans="1:40" s="3" customFormat="1" ht="22.5" customHeight="1">
      <c r="A62" s="1812"/>
      <c r="B62" s="1811"/>
      <c r="C62" s="1811"/>
      <c r="D62" s="1790"/>
      <c r="E62" s="1791"/>
      <c r="F62" s="1791"/>
      <c r="G62" s="1791"/>
      <c r="H62" s="1791"/>
      <c r="I62" s="1791"/>
      <c r="J62" s="1791"/>
      <c r="K62" s="1791"/>
      <c r="L62" s="1794"/>
      <c r="M62" s="1794"/>
      <c r="N62" s="1795"/>
      <c r="O62" s="1790"/>
      <c r="P62" s="1791"/>
      <c r="Q62" s="1791"/>
      <c r="R62" s="1791"/>
      <c r="S62" s="1791"/>
      <c r="T62" s="1791"/>
      <c r="U62" s="1791"/>
      <c r="V62" s="1791"/>
      <c r="W62" s="1794"/>
      <c r="X62" s="1794"/>
      <c r="Y62" s="1795"/>
      <c r="Z62" s="329"/>
      <c r="AA62" s="329"/>
      <c r="AB62" s="329"/>
      <c r="AC62" s="329"/>
      <c r="AD62" s="329"/>
      <c r="AE62" s="329"/>
      <c r="AF62" s="606" t="str">
        <f>IF(OR($AG$48="本票ⅡⅢ回答必要",$AG$48="本票ⅠⅡⅢ回答必要",$AG$48="本票ⅡⅢⅥ回答必要",$AG$48="本票ⅠⅡⅢⅥ回答必要"),"",
IF(AG61=0,"",
IF(AND(O61="",Q61="",S61="",U61=""),"←学年別在籍者数を記入してください。（いない場合には「0」を入力してください。）",
IF(O61="","←１年の在籍者数が未記入です。（募集停止校の場合は「0」を入力してください。）",
IF(Q61="","←２年の在籍者数が未記入です。（不在の場合は「0」を入力してください。）",
IF(S61="","←３年の在籍者数が未記入です。（不在の場合は「0」を入力してください。）",
IF(U61="","←４年の在籍者数が未記入です。（不在の場合は「0」を入力してください。）",
IF(SUM(O61,Q61,S61,U61,)&lt;&gt;W61,"←在籍者数計が学年別内訳計と一致しません。",
""))))))))</f>
        <v/>
      </c>
      <c r="AG62" s="333"/>
      <c r="AH62" s="263"/>
      <c r="AI62" s="263"/>
      <c r="AJ62" s="263"/>
      <c r="AK62" s="264"/>
      <c r="AL62" s="263"/>
      <c r="AM62" s="263"/>
      <c r="AN62" s="263"/>
    </row>
    <row r="63" spans="1:40" s="3" customFormat="1" ht="22.5" customHeight="1">
      <c r="A63" s="1806" t="s">
        <v>1370</v>
      </c>
      <c r="B63" s="1807"/>
      <c r="C63" s="1807"/>
      <c r="D63" s="1790"/>
      <c r="E63" s="1791"/>
      <c r="F63" s="1791"/>
      <c r="G63" s="1791"/>
      <c r="H63" s="1791"/>
      <c r="I63" s="1791"/>
      <c r="J63" s="1791"/>
      <c r="K63" s="1791"/>
      <c r="L63" s="1794">
        <f t="shared" ref="L63" si="5">SUM(D63:K64)</f>
        <v>0</v>
      </c>
      <c r="M63" s="1794"/>
      <c r="N63" s="1795"/>
      <c r="O63" s="1790"/>
      <c r="P63" s="1791"/>
      <c r="Q63" s="1791"/>
      <c r="R63" s="1791"/>
      <c r="S63" s="1791"/>
      <c r="T63" s="1791"/>
      <c r="U63" s="1791"/>
      <c r="V63" s="1791"/>
      <c r="W63" s="1802">
        <f t="shared" ref="W63" si="6">SUM(O63:V64)</f>
        <v>0</v>
      </c>
      <c r="X63" s="1802"/>
      <c r="Y63" s="1803"/>
      <c r="Z63" s="329"/>
      <c r="AA63" s="329"/>
      <c r="AB63" s="329"/>
      <c r="AC63" s="329"/>
      <c r="AD63" s="329"/>
      <c r="AE63" s="329"/>
      <c r="AF63" s="606" t="str">
        <f>IF(OR($AG$48="本票ⅡⅢ回答必要",$AG$48="本票ⅠⅡⅢ回答必要",$AG$48="本票ⅡⅢⅥ回答必要",$AG$48="本票ⅠⅡⅢⅥ回答必要"),"",
IF(AG63=0,"",
IF(AND(D63="",F63="",H63="",J63=""),"←学年別定員数を記入してください。（いない場合には「0」を入力してください。）",
IF(D63="","←１年の定員が未記入です。（募集停止校の場合は「0」を入力してください。）",
IF(F63="","←２年の定員が未記入です。（不在の場合は「0」を入力してください。）",
IF(H63="","←３年の定員が未記入です。（不在の場合は「0」を入力してください。）",
IF(J63="","←４年の定員が未記入です。（不在の場合は「0」を入力してください。）",
IF(SUM(D63,F63,H63,J63,)&lt;&gt;L63,"←定員人数計が学年別内訳計と一致しません。",
""))))))))</f>
        <v/>
      </c>
      <c r="AG63" s="333">
        <f>COUNTA(D63:K64,O63:V64)</f>
        <v>0</v>
      </c>
      <c r="AH63" s="263"/>
      <c r="AI63" s="263"/>
      <c r="AJ63" s="263"/>
      <c r="AK63" s="264"/>
      <c r="AL63" s="263"/>
      <c r="AM63" s="263"/>
      <c r="AN63" s="263"/>
    </row>
    <row r="64" spans="1:40" s="3" customFormat="1" ht="22.5" customHeight="1">
      <c r="A64" s="1808"/>
      <c r="B64" s="1809"/>
      <c r="C64" s="1809"/>
      <c r="D64" s="1790"/>
      <c r="E64" s="1791"/>
      <c r="F64" s="1791"/>
      <c r="G64" s="1791"/>
      <c r="H64" s="1791"/>
      <c r="I64" s="1791"/>
      <c r="J64" s="1791"/>
      <c r="K64" s="1791"/>
      <c r="L64" s="1794"/>
      <c r="M64" s="1794"/>
      <c r="N64" s="1795"/>
      <c r="O64" s="1790"/>
      <c r="P64" s="1791"/>
      <c r="Q64" s="1791"/>
      <c r="R64" s="1791"/>
      <c r="S64" s="1791"/>
      <c r="T64" s="1791"/>
      <c r="U64" s="1791"/>
      <c r="V64" s="1791"/>
      <c r="W64" s="1794"/>
      <c r="X64" s="1794"/>
      <c r="Y64" s="1795"/>
      <c r="Z64" s="329"/>
      <c r="AA64" s="329"/>
      <c r="AB64" s="329"/>
      <c r="AC64" s="329"/>
      <c r="AD64" s="329"/>
      <c r="AE64" s="329"/>
      <c r="AF64" s="606" t="str">
        <f>IF(OR($AG$48="本票ⅡⅢ回答必要",$AG$48="本票ⅠⅡⅢ回答必要",$AG$48="本票ⅡⅢⅥ回答必要",$AG$48="本票ⅠⅡⅢⅥ回答必要"),"",
IF(AG63=0,"",
IF(AND(O63="",Q63="",S63="",U63=""),"←学年別在籍者数を記入してください。（いない場合には「0」を入力してください。）",
IF(O63="","←１年の在籍者数が未記入です。（募集停止校の場合は「0」を入力してください。）",
IF(Q63="","←２年の在籍者数が未記入です。（不在の場合は「0」を入力してください。）",
IF(S63="","←３年の在籍者数が未記入です。（不在の場合は「0」を入力してください。）",
IF(U63="","←４年の在籍者数が未記入です。（不在の場合は「0」を入力してください。）",
IF(SUM(O63,Q63,S63,U63,)&lt;&gt;W63,"←在籍者数計が学年別内訳計と一致しません。",
""))))))))</f>
        <v/>
      </c>
      <c r="AG64" s="333"/>
      <c r="AH64" s="263"/>
      <c r="AI64" s="263"/>
      <c r="AJ64" s="263"/>
      <c r="AK64" s="264"/>
      <c r="AL64" s="263"/>
      <c r="AM64" s="263"/>
      <c r="AN64" s="263"/>
    </row>
    <row r="65" spans="1:40" s="3" customFormat="1" ht="22.5" customHeight="1">
      <c r="A65" s="1813" t="s">
        <v>1371</v>
      </c>
      <c r="B65" s="1142"/>
      <c r="C65" s="1816"/>
      <c r="D65" s="1790"/>
      <c r="E65" s="1791"/>
      <c r="F65" s="1791"/>
      <c r="G65" s="1791"/>
      <c r="H65" s="1791"/>
      <c r="I65" s="1791"/>
      <c r="J65" s="1791"/>
      <c r="K65" s="1791"/>
      <c r="L65" s="1794">
        <f t="shared" ref="L65" si="7">SUM(D65:K66)</f>
        <v>0</v>
      </c>
      <c r="M65" s="1794"/>
      <c r="N65" s="1795"/>
      <c r="O65" s="1790"/>
      <c r="P65" s="1791"/>
      <c r="Q65" s="1791"/>
      <c r="R65" s="1791"/>
      <c r="S65" s="1791"/>
      <c r="T65" s="1791"/>
      <c r="U65" s="1791"/>
      <c r="V65" s="1791"/>
      <c r="W65" s="1802">
        <f t="shared" ref="W65" si="8">SUM(O65:V66)</f>
        <v>0</v>
      </c>
      <c r="X65" s="1802"/>
      <c r="Y65" s="1803"/>
      <c r="Z65" s="329"/>
      <c r="AA65" s="329"/>
      <c r="AB65" s="329"/>
      <c r="AC65" s="329"/>
      <c r="AD65" s="329"/>
      <c r="AE65" s="329"/>
      <c r="AF65" s="606" t="str">
        <f>IF(OR($AG$48="本票ⅡⅢ回答必要",$AG$48="本票ⅠⅡⅢ回答必要",$AG$48="本票ⅡⅢⅥ回答必要",$AG$48="本票ⅠⅡⅢⅥ回答必要"),"",
IF(AG65=0,"",
IF(AND(D65="",F65="",H65="",J65=""),"←学年別定員数を記入してください。（いない場合には「0」を入力してください。）",
IF(D65="","←１年の定員が未記入です。（募集停止校の場合は「0」を入力してください。）",
IF(F65="","←２年の定員が未記入です。（不在の場合は「0」を入力してください。）",
IF(H65="","←３年の定員が未記入です。（不在の場合は「0」を入力してください。）",
IF(J65="","←４年の定員が未記入です。（不在の場合は「0」を入力してください。）",
IF(SUM(D65,F65,H65,J65,)&lt;&gt;L65,"←定員人数計が学年別内訳計と一致しません。",
""))))))))</f>
        <v/>
      </c>
      <c r="AG65" s="333">
        <f>COUNTA(B65,D65:K66,O65:V66)</f>
        <v>0</v>
      </c>
      <c r="AH65" s="263"/>
      <c r="AI65" s="263"/>
      <c r="AJ65" s="263"/>
      <c r="AK65" s="264"/>
      <c r="AL65" s="263"/>
      <c r="AM65" s="263"/>
      <c r="AN65" s="263"/>
    </row>
    <row r="66" spans="1:40" s="3" customFormat="1" ht="22.5" customHeight="1">
      <c r="A66" s="1814"/>
      <c r="B66" s="1804" t="s">
        <v>10</v>
      </c>
      <c r="C66" s="1805"/>
      <c r="D66" s="1790"/>
      <c r="E66" s="1791"/>
      <c r="F66" s="1791"/>
      <c r="G66" s="1791"/>
      <c r="H66" s="1791"/>
      <c r="I66" s="1791"/>
      <c r="J66" s="1791"/>
      <c r="K66" s="1791"/>
      <c r="L66" s="1794"/>
      <c r="M66" s="1794"/>
      <c r="N66" s="1795"/>
      <c r="O66" s="1790"/>
      <c r="P66" s="1791"/>
      <c r="Q66" s="1791"/>
      <c r="R66" s="1791"/>
      <c r="S66" s="1791"/>
      <c r="T66" s="1791"/>
      <c r="U66" s="1791"/>
      <c r="V66" s="1791"/>
      <c r="W66" s="1794"/>
      <c r="X66" s="1794"/>
      <c r="Y66" s="1795"/>
      <c r="Z66" s="329"/>
      <c r="AA66" s="329"/>
      <c r="AB66" s="329"/>
      <c r="AC66" s="329"/>
      <c r="AD66" s="329"/>
      <c r="AE66" s="329"/>
      <c r="AF66" s="606" t="str">
        <f>IF(OR($AG$48="本票ⅡⅢ回答必要",$AG$48="本票ⅠⅡⅢ回答必要",$AG$48="本票ⅡⅢⅥ回答必要",$AG$48="本票ⅠⅡⅢⅥ回答必要"),"",
IF(AG65=0,"",
IF(AND(O65="",Q65="",S65="",U65=""),"←学年別在籍者数を記入してください。（いない場合には「0」を入力してください。）",
IF(O65="","←１年の在籍者数が未記入です。（募集停止校の場合は「0」を入力してください。）",
IF(Q65="","←２年の在籍者数が未記入です。（不在の場合は「0」を入力してください。）",
IF(S65="","←３年の在籍者数が未記入です。（不在の場合は「0」を入力してください。）",
IF(U65="","←４年の在籍者数が未記入です。（不在の場合は「0」を入力してください。）",
IF(SUM(O65,Q65,S65,U65,)&lt;&gt;W65,"←在籍者数計が学年別内訳計と一致しません。",
""))))))))</f>
        <v/>
      </c>
      <c r="AG66" s="333"/>
      <c r="AH66" s="263"/>
      <c r="AI66" s="263"/>
      <c r="AJ66" s="263"/>
      <c r="AK66" s="264"/>
      <c r="AL66" s="263"/>
      <c r="AM66" s="263"/>
      <c r="AN66" s="263"/>
    </row>
    <row r="67" spans="1:40" s="3" customFormat="1" ht="22.5" customHeight="1">
      <c r="A67" s="1814"/>
      <c r="B67" s="1800"/>
      <c r="C67" s="1801"/>
      <c r="D67" s="1790"/>
      <c r="E67" s="1791"/>
      <c r="F67" s="1791"/>
      <c r="G67" s="1791"/>
      <c r="H67" s="1791"/>
      <c r="I67" s="1791"/>
      <c r="J67" s="1791"/>
      <c r="K67" s="1791"/>
      <c r="L67" s="1794">
        <f t="shared" ref="L67" si="9">SUM(D67:K68)</f>
        <v>0</v>
      </c>
      <c r="M67" s="1794"/>
      <c r="N67" s="1795"/>
      <c r="O67" s="1790"/>
      <c r="P67" s="1791"/>
      <c r="Q67" s="1791"/>
      <c r="R67" s="1791"/>
      <c r="S67" s="1791"/>
      <c r="T67" s="1791"/>
      <c r="U67" s="1791"/>
      <c r="V67" s="1791"/>
      <c r="W67" s="1802">
        <f t="shared" ref="W67" si="10">SUM(O67:V68)</f>
        <v>0</v>
      </c>
      <c r="X67" s="1802"/>
      <c r="Y67" s="1803"/>
      <c r="Z67" s="329"/>
      <c r="AA67" s="329"/>
      <c r="AB67" s="329"/>
      <c r="AC67" s="329"/>
      <c r="AD67" s="329"/>
      <c r="AE67" s="329"/>
      <c r="AF67" s="606" t="str">
        <f>IF(OR($AG$48="本票ⅡⅢ回答必要",$AG$48="本票ⅠⅡⅢ回答必要",$AG$48="本票ⅡⅢⅥ回答必要",$AG$48="本票ⅠⅡⅢⅥ回答必要"),"",
IF(AG67=0,"",
IF(AND(D67="",F67="",H67="",J67=""),"←学年別定員数を記入してください。（いない場合には「0」を入力してください。）",
IF(D67="","←１年の定員が未記入です。（募集停止校の場合は「0」を入力してください。）",
IF(F67="","←２年の定員が未記入です。（不在の場合は「0」を入力してください。）",
IF(H67="","←３年の定員が未記入です。（不在の場合は「0」を入力してください。）",
IF(J67="","←４年の定員が未記入です。（不在の場合は「0」を入力してください。）",
IF(SUM(D67,F67,H67,J67,)&lt;&gt;L67,"←定員人数計が学年別内訳計と一致しません。",
""))))))))</f>
        <v/>
      </c>
      <c r="AG67" s="333">
        <f>COUNTA(B67,D67:K68,O67:V68)</f>
        <v>0</v>
      </c>
      <c r="AH67" s="263"/>
      <c r="AI67" s="263"/>
      <c r="AJ67" s="263"/>
      <c r="AK67" s="264"/>
      <c r="AL67" s="263"/>
      <c r="AM67" s="263"/>
      <c r="AN67" s="263"/>
    </row>
    <row r="68" spans="1:40" s="3" customFormat="1" ht="22.5" customHeight="1">
      <c r="A68" s="1814"/>
      <c r="B68" s="1804" t="s">
        <v>10</v>
      </c>
      <c r="C68" s="1805"/>
      <c r="D68" s="1790"/>
      <c r="E68" s="1791"/>
      <c r="F68" s="1791"/>
      <c r="G68" s="1791"/>
      <c r="H68" s="1791"/>
      <c r="I68" s="1791"/>
      <c r="J68" s="1791"/>
      <c r="K68" s="1791"/>
      <c r="L68" s="1794"/>
      <c r="M68" s="1794"/>
      <c r="N68" s="1795"/>
      <c r="O68" s="1790"/>
      <c r="P68" s="1791"/>
      <c r="Q68" s="1791"/>
      <c r="R68" s="1791"/>
      <c r="S68" s="1791"/>
      <c r="T68" s="1791"/>
      <c r="U68" s="1791"/>
      <c r="V68" s="1791"/>
      <c r="W68" s="1794"/>
      <c r="X68" s="1794"/>
      <c r="Y68" s="1795"/>
      <c r="Z68" s="329"/>
      <c r="AA68" s="329"/>
      <c r="AB68" s="329"/>
      <c r="AC68" s="329"/>
      <c r="AD68" s="329"/>
      <c r="AE68" s="329"/>
      <c r="AF68" s="606" t="str">
        <f>IF(OR($AG$48="本票ⅡⅢ回答必要",$AG$48="本票ⅠⅡⅢ回答必要",$AG$48="本票ⅡⅢⅥ回答必要",$AG$48="本票ⅠⅡⅢⅥ回答必要"),"",
IF(AG67=0,"",
IF(AND(O67="",Q67="",S67="",U67=""),"←学年別在籍者数を記入してください。（いない場合には「0」を入力してください。）",
IF(O67="","←１年の在籍者数が未記入です。（募集停止校の場合は「0」を入力してください。）",
IF(Q67="","←２年の在籍者数が未記入です。（不在の場合は「0」を入力してください。）",
IF(S67="","←３年の在籍者数が未記入です。（不在の場合は「0」を入力してください。）",
IF(U67="","←４年の在籍者数が未記入です。（不在の場合は「0」を入力してください。）",
IF(SUM(O67,Q67,S67,U67,)&lt;&gt;W67,"←在籍者数計が学年別内訳計と一致しません。",
""))))))))</f>
        <v/>
      </c>
      <c r="AG68" s="333"/>
      <c r="AH68" s="263"/>
      <c r="AI68" s="263"/>
      <c r="AJ68" s="263"/>
      <c r="AK68" s="264"/>
      <c r="AL68" s="263"/>
      <c r="AM68" s="263"/>
      <c r="AN68" s="263"/>
    </row>
    <row r="69" spans="1:40" s="3" customFormat="1" ht="22.5" customHeight="1">
      <c r="A69" s="1814"/>
      <c r="B69" s="1800"/>
      <c r="C69" s="1801"/>
      <c r="D69" s="1790"/>
      <c r="E69" s="1791"/>
      <c r="F69" s="1791"/>
      <c r="G69" s="1791"/>
      <c r="H69" s="1791"/>
      <c r="I69" s="1791"/>
      <c r="J69" s="1791"/>
      <c r="K69" s="1791"/>
      <c r="L69" s="1794">
        <f t="shared" ref="L69" si="11">SUM(D69:K70)</f>
        <v>0</v>
      </c>
      <c r="M69" s="1794"/>
      <c r="N69" s="1795"/>
      <c r="O69" s="1790"/>
      <c r="P69" s="1791"/>
      <c r="Q69" s="1791"/>
      <c r="R69" s="1791"/>
      <c r="S69" s="1791"/>
      <c r="T69" s="1791"/>
      <c r="U69" s="1791"/>
      <c r="V69" s="1791"/>
      <c r="W69" s="1802">
        <f t="shared" ref="W69" si="12">SUM(O69:V70)</f>
        <v>0</v>
      </c>
      <c r="X69" s="1802"/>
      <c r="Y69" s="1803"/>
      <c r="Z69" s="329"/>
      <c r="AA69" s="329"/>
      <c r="AB69" s="329"/>
      <c r="AC69" s="329"/>
      <c r="AD69" s="329"/>
      <c r="AE69" s="329"/>
      <c r="AF69" s="606" t="str">
        <f>IF(OR($AG$48="本票ⅡⅢ回答必要",$AG$48="本票ⅠⅡⅢ回答必要",$AG$48="本票ⅡⅢⅥ回答必要",$AG$48="本票ⅠⅡⅢⅥ回答必要"),"",
IF(AG69=0,"",
IF(AND(D69="",F69="",H69="",J69=""),"←学年別定員数を記入してください。（いない場合には「0」を入力してください。）",
IF(D69="","←１年の定員が未記入です。（募集停止校の場合は「0」を入力してください。）",
IF(F69="","←２年の定員が未記入です。（不在の場合は「0」を入力してください。）",
IF(H69="","←３年の定員が未記入です。（不在の場合は「0」を入力してください。）",
IF(J69="","←４年の定員が未記入です。（不在の場合は「0」を入力してください。）",
IF(SUM(D69,F69,H69,J69,)&lt;&gt;L69,"←定員人数計が学年別内訳計と一致しません。",
""))))))))</f>
        <v/>
      </c>
      <c r="AG69" s="333">
        <f>COUNTA(B69,D69:K70,O69:V70)</f>
        <v>0</v>
      </c>
      <c r="AH69" s="263"/>
      <c r="AI69" s="263"/>
      <c r="AJ69" s="263"/>
      <c r="AK69" s="264"/>
      <c r="AL69" s="263"/>
      <c r="AM69" s="263"/>
      <c r="AN69" s="263"/>
    </row>
    <row r="70" spans="1:40" s="3" customFormat="1" ht="22.5" customHeight="1">
      <c r="A70" s="1814"/>
      <c r="B70" s="1804" t="s">
        <v>10</v>
      </c>
      <c r="C70" s="1805"/>
      <c r="D70" s="1790"/>
      <c r="E70" s="1791"/>
      <c r="F70" s="1791"/>
      <c r="G70" s="1791"/>
      <c r="H70" s="1791"/>
      <c r="I70" s="1791"/>
      <c r="J70" s="1791"/>
      <c r="K70" s="1791"/>
      <c r="L70" s="1794"/>
      <c r="M70" s="1794"/>
      <c r="N70" s="1795"/>
      <c r="O70" s="1790"/>
      <c r="P70" s="1791"/>
      <c r="Q70" s="1791"/>
      <c r="R70" s="1791"/>
      <c r="S70" s="1791"/>
      <c r="T70" s="1791"/>
      <c r="U70" s="1791"/>
      <c r="V70" s="1791"/>
      <c r="W70" s="1794"/>
      <c r="X70" s="1794"/>
      <c r="Y70" s="1795"/>
      <c r="Z70" s="329"/>
      <c r="AA70" s="329"/>
      <c r="AB70" s="329"/>
      <c r="AC70" s="329"/>
      <c r="AD70" s="329"/>
      <c r="AE70" s="329"/>
      <c r="AF70" s="606" t="str">
        <f>IF(OR($AG$48="本票ⅡⅢ回答必要",$AG$48="本票ⅠⅡⅢ回答必要",$AG$48="本票ⅡⅢⅥ回答必要",$AG$48="本票ⅠⅡⅢⅥ回答必要"),"",
IF(AG69=0,"",
IF(AND(O69="",Q69="",S69="",U69=""),"←学年別在籍者数を記入してください。（いない場合には「0」を入力してください。）",
IF(O69="","←１年の在籍者数が未記入です。（募集停止校の場合は「0」を入力してください。）",
IF(Q69="","←２年の在籍者数が未記入です。（不在の場合は「0」を入力してください。）",
IF(S69="","←３年の在籍者数が未記入です。（不在の場合は「0」を入力してください。）",
IF(U69="","←４年の在籍者数が未記入です。（不在の場合は「0」を入力してください。）",
IF(SUM(O69,Q69,S69,U69,)&lt;&gt;W69,"←在籍者数計が学年別内訳計と一致しません。",
""))))))))</f>
        <v/>
      </c>
      <c r="AG70" s="333"/>
      <c r="AH70" s="263"/>
      <c r="AI70" s="263"/>
      <c r="AJ70" s="263"/>
      <c r="AK70" s="264"/>
      <c r="AL70" s="263"/>
      <c r="AM70" s="263"/>
      <c r="AN70" s="263"/>
    </row>
    <row r="71" spans="1:40" s="3" customFormat="1" ht="22.5" customHeight="1">
      <c r="A71" s="1814"/>
      <c r="B71" s="1800"/>
      <c r="C71" s="1801"/>
      <c r="D71" s="1790"/>
      <c r="E71" s="1791"/>
      <c r="F71" s="1791"/>
      <c r="G71" s="1791"/>
      <c r="H71" s="1791"/>
      <c r="I71" s="1791"/>
      <c r="J71" s="1791"/>
      <c r="K71" s="1791"/>
      <c r="L71" s="1794">
        <f t="shared" ref="L71" si="13">SUM(D71:K72)</f>
        <v>0</v>
      </c>
      <c r="M71" s="1794"/>
      <c r="N71" s="1795"/>
      <c r="O71" s="1790"/>
      <c r="P71" s="1791"/>
      <c r="Q71" s="1791"/>
      <c r="R71" s="1791"/>
      <c r="S71" s="1791"/>
      <c r="T71" s="1791"/>
      <c r="U71" s="1791"/>
      <c r="V71" s="1791"/>
      <c r="W71" s="1794">
        <f t="shared" ref="W71" si="14">SUM(O71:V72)</f>
        <v>0</v>
      </c>
      <c r="X71" s="1794"/>
      <c r="Y71" s="1795"/>
      <c r="Z71" s="329"/>
      <c r="AA71" s="329"/>
      <c r="AB71" s="329"/>
      <c r="AC71" s="329"/>
      <c r="AD71" s="329"/>
      <c r="AE71" s="329"/>
      <c r="AF71" s="606" t="str">
        <f>IF(OR($AG$48="本票ⅡⅢ回答必要",$AG$48="本票ⅠⅡⅢ回答必要",$AG$48="本票ⅡⅢⅥ回答必要",$AG$48="本票ⅠⅡⅢⅥ回答必要"),"",
IF(AG71=0,"",
IF(AND(D71="",F71="",H71="",J71=""),"←学年別定員数を記入してください。（いない場合には「0」を入力してください。）",
IF(D71="","←１年の定員が未記入です。（募集停止校の場合は「0」を入力してください。）",
IF(F71="","←２年の定員が未記入です。（不在の場合は「0」を入力してください。）",
IF(H71="","←３年の定員が未記入です。（不在の場合は「0」を入力してください。）",
IF(J71="","←４年の定員が未記入です。（不在の場合は「0」を入力してください。）",
IF(SUM(D71,F71,H71,J71,)&lt;&gt;L71,"←定員人数計が学年別内訳計と一致しません。",
""))))))))</f>
        <v/>
      </c>
      <c r="AG71" s="333">
        <f>COUNTA(B71,D71:K72,O71:V72)</f>
        <v>0</v>
      </c>
      <c r="AH71" s="263"/>
      <c r="AI71" s="263"/>
      <c r="AJ71" s="263"/>
      <c r="AK71" s="264"/>
      <c r="AL71" s="263"/>
      <c r="AM71" s="263"/>
      <c r="AN71" s="263"/>
    </row>
    <row r="72" spans="1:40" s="3" customFormat="1" ht="22.5" customHeight="1" thickBot="1">
      <c r="A72" s="1815"/>
      <c r="B72" s="1798" t="s">
        <v>10</v>
      </c>
      <c r="C72" s="1799"/>
      <c r="D72" s="1792"/>
      <c r="E72" s="1793"/>
      <c r="F72" s="1793"/>
      <c r="G72" s="1793"/>
      <c r="H72" s="1793"/>
      <c r="I72" s="1793"/>
      <c r="J72" s="1793"/>
      <c r="K72" s="1793"/>
      <c r="L72" s="1796"/>
      <c r="M72" s="1796"/>
      <c r="N72" s="1797"/>
      <c r="O72" s="1792"/>
      <c r="P72" s="1793"/>
      <c r="Q72" s="1793"/>
      <c r="R72" s="1793"/>
      <c r="S72" s="1793"/>
      <c r="T72" s="1793"/>
      <c r="U72" s="1793"/>
      <c r="V72" s="1793"/>
      <c r="W72" s="1796"/>
      <c r="X72" s="1796"/>
      <c r="Y72" s="1797"/>
      <c r="Z72" s="329"/>
      <c r="AA72" s="329"/>
      <c r="AB72" s="329"/>
      <c r="AC72" s="329"/>
      <c r="AD72" s="329"/>
      <c r="AE72" s="329"/>
      <c r="AF72" s="606" t="str">
        <f>IF(OR($AG$48="本票ⅡⅢ回答必要",$AG$48="本票ⅠⅡⅢ回答必要",$AG$48="本票ⅡⅢⅥ回答必要",$AG$48="本票ⅠⅡⅢⅥ回答必要"),"",
IF(AG71=0,"",
IF(AND(O71="",Q71="",S71="",U71=""),"←学年別在籍者数を記入してください。（いない場合には「0」を入力してください。）",
IF(O71="","←１年の在籍者数が未記入です。（募集停止校の場合は「0」を入力してください。）",
IF(Q71="","←２年の在籍者数が未記入です。（不在の場合は「0」を入力してください。）",
IF(S71="","←３年の在籍者数が未記入です。（不在の場合は「0」を入力してください。）",
IF(U71="","←４年の在籍者数が未記入です。（不在の場合は「0」を入力してください。）",
IF(SUM(O71,Q71,S71,U71,)&lt;&gt;W71,"←在籍者数計が学年別内訳計と一致しません。",
""))))))))</f>
        <v/>
      </c>
      <c r="AG72" s="333"/>
      <c r="AH72" s="263"/>
      <c r="AI72" s="263"/>
      <c r="AJ72" s="263"/>
      <c r="AK72" s="264"/>
      <c r="AL72" s="263"/>
      <c r="AM72" s="263"/>
      <c r="AN72" s="263"/>
    </row>
    <row r="73" spans="1:40" s="3" customFormat="1" ht="14.25" customHeight="1">
      <c r="A73" s="1575" t="s">
        <v>1252</v>
      </c>
      <c r="B73" s="1575"/>
      <c r="C73" s="1779" t="s">
        <v>1372</v>
      </c>
      <c r="D73" s="1779"/>
      <c r="E73" s="1779"/>
      <c r="F73" s="1779"/>
      <c r="G73" s="1779"/>
      <c r="H73" s="1779"/>
      <c r="I73" s="1779"/>
      <c r="J73" s="1779"/>
      <c r="K73" s="1779"/>
      <c r="L73" s="1779"/>
      <c r="M73" s="1779"/>
      <c r="N73" s="1779"/>
      <c r="O73" s="1779"/>
      <c r="P73" s="1779"/>
      <c r="Q73" s="1779"/>
      <c r="R73" s="1779"/>
      <c r="S73" s="1779"/>
      <c r="T73" s="1779"/>
      <c r="U73" s="1779"/>
      <c r="V73" s="1779"/>
      <c r="W73" s="1779"/>
      <c r="X73" s="1779"/>
      <c r="Y73" s="1779"/>
      <c r="Z73" s="334"/>
      <c r="AA73" s="334"/>
      <c r="AB73" s="334"/>
      <c r="AC73" s="334"/>
      <c r="AD73" s="334"/>
      <c r="AE73" s="334"/>
      <c r="AF73" s="604"/>
      <c r="AG73" s="262"/>
      <c r="AH73" s="263"/>
      <c r="AI73" s="263"/>
      <c r="AJ73" s="263"/>
      <c r="AK73" s="264"/>
      <c r="AL73" s="263"/>
      <c r="AM73" s="263"/>
      <c r="AN73" s="263"/>
    </row>
    <row r="74" spans="1:40" s="3" customFormat="1" ht="5.0999999999999996" customHeight="1">
      <c r="A74" s="335"/>
      <c r="B74" s="336"/>
      <c r="C74" s="337"/>
      <c r="D74" s="338"/>
      <c r="E74" s="339"/>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E74" s="340"/>
      <c r="AF74" s="604"/>
      <c r="AG74" s="262"/>
      <c r="AH74" s="263"/>
      <c r="AI74" s="263"/>
      <c r="AJ74" s="263"/>
      <c r="AK74" s="264"/>
      <c r="AL74" s="263"/>
      <c r="AM74" s="263"/>
      <c r="AN74" s="263"/>
    </row>
    <row r="75" spans="1:40" s="3" customFormat="1" ht="5.0999999999999996" customHeight="1">
      <c r="A75" s="341"/>
      <c r="B75" s="342"/>
      <c r="C75" s="343"/>
      <c r="D75" s="344"/>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5"/>
      <c r="AF75" s="604"/>
      <c r="AG75" s="262"/>
      <c r="AH75" s="263"/>
      <c r="AI75" s="263"/>
      <c r="AJ75" s="263"/>
      <c r="AK75" s="264"/>
      <c r="AL75" s="263"/>
      <c r="AM75" s="263"/>
      <c r="AN75" s="263"/>
    </row>
    <row r="76" spans="1:40" s="3" customFormat="1" ht="3.75" customHeight="1">
      <c r="A76" s="346"/>
      <c r="B76" s="347"/>
      <c r="C76" s="348"/>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50"/>
      <c r="AF76" s="604"/>
      <c r="AG76" s="262"/>
      <c r="AH76" s="263"/>
      <c r="AI76" s="263"/>
      <c r="AJ76" s="263"/>
      <c r="AK76" s="264"/>
      <c r="AL76" s="263"/>
      <c r="AM76" s="263"/>
      <c r="AN76" s="263"/>
    </row>
    <row r="77" spans="1:40" s="2" customFormat="1" ht="15" customHeight="1">
      <c r="A77" s="351" t="s">
        <v>1373</v>
      </c>
      <c r="B77" s="327"/>
      <c r="C77" s="327"/>
      <c r="D77" s="327"/>
      <c r="E77" s="327"/>
      <c r="F77" s="327"/>
      <c r="G77" s="327"/>
      <c r="H77" s="327"/>
      <c r="I77" s="327"/>
      <c r="J77" s="327"/>
      <c r="K77" s="327"/>
      <c r="L77" s="327"/>
      <c r="M77" s="327"/>
      <c r="N77" s="327"/>
      <c r="O77" s="327"/>
      <c r="P77" s="327"/>
      <c r="Q77" s="327"/>
      <c r="R77" s="327"/>
      <c r="S77" s="352"/>
      <c r="T77" s="352"/>
      <c r="U77" s="352"/>
      <c r="V77" s="352"/>
      <c r="W77" s="352"/>
      <c r="X77" s="352"/>
      <c r="Y77" s="352"/>
      <c r="Z77" s="352"/>
      <c r="AA77" s="353"/>
      <c r="AB77" s="1780"/>
      <c r="AC77" s="1780"/>
      <c r="AD77" s="1780"/>
      <c r="AE77" s="1780"/>
      <c r="AF77" s="604"/>
      <c r="AG77" s="262"/>
      <c r="AH77" s="354"/>
      <c r="AI77" s="354"/>
      <c r="AJ77" s="354"/>
      <c r="AK77" s="355"/>
      <c r="AL77" s="354"/>
      <c r="AM77" s="354"/>
      <c r="AN77" s="354"/>
    </row>
    <row r="78" spans="1:40" s="2" customFormat="1" ht="5.0999999999999996" customHeight="1" thickBot="1">
      <c r="A78" s="351"/>
      <c r="B78" s="327"/>
      <c r="C78" s="327"/>
      <c r="D78" s="327"/>
      <c r="E78" s="327"/>
      <c r="F78" s="327"/>
      <c r="G78" s="327"/>
      <c r="H78" s="327"/>
      <c r="I78" s="327"/>
      <c r="J78" s="327"/>
      <c r="K78" s="327"/>
      <c r="L78" s="327"/>
      <c r="M78" s="327"/>
      <c r="N78" s="327"/>
      <c r="O78" s="327"/>
      <c r="P78" s="327"/>
      <c r="Q78" s="327"/>
      <c r="R78" s="327"/>
      <c r="S78" s="352"/>
      <c r="T78" s="352"/>
      <c r="U78" s="352"/>
      <c r="V78" s="352"/>
      <c r="W78" s="352"/>
      <c r="X78" s="352"/>
      <c r="Y78" s="352"/>
      <c r="Z78" s="352"/>
      <c r="AA78" s="353"/>
      <c r="AB78" s="356"/>
      <c r="AC78" s="356"/>
      <c r="AD78" s="356"/>
      <c r="AE78" s="356"/>
      <c r="AF78" s="604"/>
      <c r="AG78" s="262"/>
      <c r="AH78" s="354"/>
      <c r="AI78" s="354"/>
      <c r="AJ78" s="354"/>
      <c r="AK78" s="355"/>
      <c r="AL78" s="354"/>
      <c r="AM78" s="354"/>
      <c r="AN78" s="354"/>
    </row>
    <row r="79" spans="1:40" s="2" customFormat="1" ht="30" customHeight="1" thickBot="1">
      <c r="A79" s="1781" t="s">
        <v>1374</v>
      </c>
      <c r="B79" s="1782"/>
      <c r="C79" s="1782"/>
      <c r="D79" s="1782"/>
      <c r="E79" s="1782"/>
      <c r="F79" s="1782"/>
      <c r="G79" s="1783"/>
      <c r="H79" s="1784"/>
      <c r="I79" s="1784"/>
      <c r="J79" s="357" t="s">
        <v>17</v>
      </c>
      <c r="K79" s="327"/>
      <c r="L79" s="327"/>
      <c r="M79" s="327"/>
      <c r="N79" s="327"/>
      <c r="O79" s="327"/>
      <c r="P79" s="327"/>
      <c r="Q79" s="327"/>
      <c r="R79" s="327"/>
      <c r="S79" s="352"/>
      <c r="T79" s="352"/>
      <c r="U79" s="352"/>
      <c r="V79" s="352"/>
      <c r="W79" s="352"/>
      <c r="X79" s="352"/>
      <c r="Y79" s="352"/>
      <c r="Z79" s="352"/>
      <c r="AA79" s="353"/>
      <c r="AB79" s="356"/>
      <c r="AC79" s="356"/>
      <c r="AD79" s="356"/>
      <c r="AE79" s="356"/>
      <c r="AF79" s="604" t="str">
        <f>IF(G79=0,"←在籍者（生徒）数を記入してください。","")</f>
        <v>←在籍者（生徒）数を記入してください。</v>
      </c>
      <c r="AG79" s="262"/>
      <c r="AH79" s="354"/>
      <c r="AI79" s="354"/>
      <c r="AJ79" s="354"/>
      <c r="AK79" s="355"/>
      <c r="AL79" s="354"/>
      <c r="AM79" s="354"/>
      <c r="AN79" s="354"/>
    </row>
    <row r="80" spans="1:40" s="3" customFormat="1" ht="6" customHeight="1" thickBot="1">
      <c r="A80" s="261"/>
      <c r="B80" s="287"/>
      <c r="C80" s="358"/>
      <c r="D80" s="358"/>
      <c r="E80" s="358"/>
      <c r="F80" s="358"/>
      <c r="G80" s="358"/>
      <c r="H80" s="358"/>
      <c r="I80" s="358"/>
      <c r="J80" s="358"/>
      <c r="K80" s="358"/>
      <c r="L80" s="358"/>
      <c r="M80" s="358"/>
      <c r="N80" s="358"/>
      <c r="O80" s="358"/>
      <c r="P80" s="358"/>
      <c r="Q80" s="358"/>
      <c r="R80" s="358"/>
      <c r="S80" s="358"/>
      <c r="T80" s="358"/>
      <c r="U80" s="358"/>
      <c r="V80" s="358"/>
      <c r="W80" s="358"/>
      <c r="X80" s="358"/>
      <c r="Y80" s="358"/>
      <c r="Z80" s="358"/>
      <c r="AA80" s="358"/>
      <c r="AB80" s="358"/>
      <c r="AC80" s="358"/>
      <c r="AD80" s="358"/>
      <c r="AE80" s="358"/>
      <c r="AF80" s="604"/>
      <c r="AG80" s="262"/>
      <c r="AH80" s="263"/>
      <c r="AI80" s="263"/>
      <c r="AJ80" s="263"/>
      <c r="AK80" s="264"/>
      <c r="AL80" s="263"/>
      <c r="AM80" s="263"/>
      <c r="AN80" s="263"/>
    </row>
    <row r="81" spans="1:40" s="3" customFormat="1" ht="27.6" customHeight="1">
      <c r="A81" s="1785" t="s">
        <v>1375</v>
      </c>
      <c r="B81" s="1786"/>
      <c r="C81" s="1786"/>
      <c r="D81" s="1786"/>
      <c r="E81" s="1787"/>
      <c r="F81" s="1788" t="s">
        <v>1376</v>
      </c>
      <c r="G81" s="1786"/>
      <c r="H81" s="1786"/>
      <c r="I81" s="1786"/>
      <c r="J81" s="1786"/>
      <c r="K81" s="1786"/>
      <c r="L81" s="1786"/>
      <c r="M81" s="1789"/>
      <c r="N81" s="245"/>
      <c r="O81" s="245"/>
      <c r="P81" s="1716" t="s">
        <v>1375</v>
      </c>
      <c r="Q81" s="1717"/>
      <c r="R81" s="1717"/>
      <c r="S81" s="1717"/>
      <c r="T81" s="1717"/>
      <c r="U81" s="1788" t="s">
        <v>1376</v>
      </c>
      <c r="V81" s="1786"/>
      <c r="W81" s="1786"/>
      <c r="X81" s="1786"/>
      <c r="Y81" s="1786"/>
      <c r="Z81" s="1786"/>
      <c r="AA81" s="1786"/>
      <c r="AB81" s="1789"/>
      <c r="AC81" s="327"/>
      <c r="AD81" s="327"/>
      <c r="AE81" s="327"/>
      <c r="AF81" s="604"/>
      <c r="AG81" s="262"/>
      <c r="AH81" s="263"/>
      <c r="AI81" s="263"/>
      <c r="AJ81" s="263"/>
      <c r="AK81" s="264"/>
      <c r="AL81" s="263"/>
      <c r="AM81" s="263"/>
      <c r="AN81" s="263"/>
    </row>
    <row r="82" spans="1:40" s="3" customFormat="1" ht="14.1" customHeight="1">
      <c r="A82" s="1765" t="s">
        <v>1377</v>
      </c>
      <c r="B82" s="1768" t="s">
        <v>1378</v>
      </c>
      <c r="C82" s="1769"/>
      <c r="D82" s="1769"/>
      <c r="E82" s="1770"/>
      <c r="F82" s="1771"/>
      <c r="G82" s="1772"/>
      <c r="H82" s="1772"/>
      <c r="I82" s="1772"/>
      <c r="J82" s="1772"/>
      <c r="K82" s="1772"/>
      <c r="L82" s="1772"/>
      <c r="M82" s="359" t="s">
        <v>17</v>
      </c>
      <c r="N82" s="245"/>
      <c r="O82" s="245"/>
      <c r="P82" s="1765" t="s">
        <v>1379</v>
      </c>
      <c r="Q82" s="1768" t="s">
        <v>1380</v>
      </c>
      <c r="R82" s="1769"/>
      <c r="S82" s="1769"/>
      <c r="T82" s="1770"/>
      <c r="U82" s="1771"/>
      <c r="V82" s="1772"/>
      <c r="W82" s="1772"/>
      <c r="X82" s="1772"/>
      <c r="Y82" s="1772"/>
      <c r="Z82" s="1772"/>
      <c r="AA82" s="1772"/>
      <c r="AB82" s="360" t="s">
        <v>17</v>
      </c>
      <c r="AC82" s="327"/>
      <c r="AD82" s="327"/>
      <c r="AE82" s="327"/>
      <c r="AF82" s="604"/>
      <c r="AG82" s="262"/>
      <c r="AH82" s="263"/>
      <c r="AI82" s="263"/>
      <c r="AJ82" s="263"/>
      <c r="AK82" s="264"/>
      <c r="AL82" s="263"/>
      <c r="AM82" s="263"/>
      <c r="AN82" s="263"/>
    </row>
    <row r="83" spans="1:40" s="3" customFormat="1" ht="14.1" customHeight="1">
      <c r="A83" s="1766"/>
      <c r="B83" s="1740" t="s">
        <v>1381</v>
      </c>
      <c r="C83" s="1741"/>
      <c r="D83" s="1741"/>
      <c r="E83" s="1742"/>
      <c r="F83" s="1743"/>
      <c r="G83" s="1744"/>
      <c r="H83" s="1744"/>
      <c r="I83" s="1744"/>
      <c r="J83" s="1744"/>
      <c r="K83" s="1744"/>
      <c r="L83" s="1744"/>
      <c r="M83" s="361" t="s">
        <v>17</v>
      </c>
      <c r="N83" s="245"/>
      <c r="O83" s="245"/>
      <c r="P83" s="1766"/>
      <c r="Q83" s="1745" t="s">
        <v>1382</v>
      </c>
      <c r="R83" s="1746"/>
      <c r="S83" s="1746"/>
      <c r="T83" s="1747"/>
      <c r="U83" s="1748"/>
      <c r="V83" s="1749"/>
      <c r="W83" s="1749"/>
      <c r="X83" s="1749"/>
      <c r="Y83" s="1749"/>
      <c r="Z83" s="1749"/>
      <c r="AA83" s="1749"/>
      <c r="AB83" s="362" t="s">
        <v>17</v>
      </c>
      <c r="AC83" s="327"/>
      <c r="AD83" s="327"/>
      <c r="AE83" s="327"/>
      <c r="AF83" s="604"/>
      <c r="AG83" s="262"/>
      <c r="AH83" s="263"/>
      <c r="AI83" s="263"/>
      <c r="AJ83" s="263"/>
      <c r="AK83" s="264"/>
      <c r="AL83" s="263"/>
      <c r="AM83" s="263"/>
      <c r="AN83" s="263"/>
    </row>
    <row r="84" spans="1:40" s="3" customFormat="1" ht="14.1" customHeight="1">
      <c r="A84" s="1766"/>
      <c r="B84" s="1740" t="s">
        <v>1383</v>
      </c>
      <c r="C84" s="1741"/>
      <c r="D84" s="1741"/>
      <c r="E84" s="1742"/>
      <c r="F84" s="1743"/>
      <c r="G84" s="1744"/>
      <c r="H84" s="1744"/>
      <c r="I84" s="1744"/>
      <c r="J84" s="1744"/>
      <c r="K84" s="1744"/>
      <c r="L84" s="1744"/>
      <c r="M84" s="360" t="s">
        <v>17</v>
      </c>
      <c r="N84" s="245"/>
      <c r="O84" s="245"/>
      <c r="P84" s="1766"/>
      <c r="Q84" s="1745" t="s">
        <v>1384</v>
      </c>
      <c r="R84" s="1746"/>
      <c r="S84" s="1746"/>
      <c r="T84" s="1747"/>
      <c r="U84" s="1748"/>
      <c r="V84" s="1749"/>
      <c r="W84" s="1749"/>
      <c r="X84" s="1749"/>
      <c r="Y84" s="1749"/>
      <c r="Z84" s="1749"/>
      <c r="AA84" s="1749"/>
      <c r="AB84" s="362" t="s">
        <v>17</v>
      </c>
      <c r="AC84" s="327"/>
      <c r="AD84" s="327"/>
      <c r="AE84" s="327"/>
      <c r="AF84" s="604"/>
      <c r="AG84" s="262"/>
      <c r="AH84" s="263"/>
      <c r="AI84" s="263"/>
      <c r="AJ84" s="263"/>
      <c r="AK84" s="264"/>
      <c r="AL84" s="263"/>
      <c r="AM84" s="263"/>
      <c r="AN84" s="263"/>
    </row>
    <row r="85" spans="1:40" s="2" customFormat="1" ht="14.1" customHeight="1">
      <c r="A85" s="1766"/>
      <c r="B85" s="1740" t="s">
        <v>1385</v>
      </c>
      <c r="C85" s="1741"/>
      <c r="D85" s="1741"/>
      <c r="E85" s="1742"/>
      <c r="F85" s="1743"/>
      <c r="G85" s="1744"/>
      <c r="H85" s="1744"/>
      <c r="I85" s="1744"/>
      <c r="J85" s="1744"/>
      <c r="K85" s="1744"/>
      <c r="L85" s="1744"/>
      <c r="M85" s="361" t="s">
        <v>17</v>
      </c>
      <c r="N85" s="244"/>
      <c r="O85" s="244"/>
      <c r="P85" s="1766"/>
      <c r="Q85" s="1745" t="s">
        <v>1386</v>
      </c>
      <c r="R85" s="1746"/>
      <c r="S85" s="1746"/>
      <c r="T85" s="1747"/>
      <c r="U85" s="1748"/>
      <c r="V85" s="1749"/>
      <c r="W85" s="1749"/>
      <c r="X85" s="1749"/>
      <c r="Y85" s="1749"/>
      <c r="Z85" s="1749"/>
      <c r="AA85" s="1749"/>
      <c r="AB85" s="362" t="s">
        <v>17</v>
      </c>
      <c r="AC85" s="352"/>
      <c r="AD85" s="352"/>
      <c r="AE85" s="352"/>
      <c r="AF85" s="604"/>
      <c r="AG85" s="262"/>
      <c r="AH85" s="354"/>
      <c r="AI85" s="354"/>
      <c r="AJ85" s="354"/>
      <c r="AK85" s="355"/>
      <c r="AL85" s="354"/>
      <c r="AM85" s="354"/>
      <c r="AN85" s="354"/>
    </row>
    <row r="86" spans="1:40" s="2" customFormat="1" ht="14.1" customHeight="1">
      <c r="A86" s="1766"/>
      <c r="B86" s="1740" t="s">
        <v>1387</v>
      </c>
      <c r="C86" s="1741"/>
      <c r="D86" s="1741"/>
      <c r="E86" s="1742"/>
      <c r="F86" s="1743"/>
      <c r="G86" s="1744"/>
      <c r="H86" s="1744"/>
      <c r="I86" s="1744"/>
      <c r="J86" s="1744"/>
      <c r="K86" s="1744"/>
      <c r="L86" s="1744"/>
      <c r="M86" s="361" t="s">
        <v>17</v>
      </c>
      <c r="N86" s="244"/>
      <c r="O86" s="244"/>
      <c r="P86" s="1766"/>
      <c r="Q86" s="1745" t="s">
        <v>1388</v>
      </c>
      <c r="R86" s="1746"/>
      <c r="S86" s="1746"/>
      <c r="T86" s="1747"/>
      <c r="U86" s="1748"/>
      <c r="V86" s="1749"/>
      <c r="W86" s="1749"/>
      <c r="X86" s="1749"/>
      <c r="Y86" s="1749"/>
      <c r="Z86" s="1749"/>
      <c r="AA86" s="1749"/>
      <c r="AB86" s="362" t="s">
        <v>17</v>
      </c>
      <c r="AC86" s="352"/>
      <c r="AD86" s="352"/>
      <c r="AE86" s="352"/>
      <c r="AF86" s="604"/>
      <c r="AG86" s="262"/>
      <c r="AH86" s="354"/>
      <c r="AI86" s="354"/>
      <c r="AJ86" s="354"/>
      <c r="AK86" s="355"/>
      <c r="AL86" s="354"/>
      <c r="AM86" s="354"/>
      <c r="AN86" s="354"/>
    </row>
    <row r="87" spans="1:40" s="2" customFormat="1" ht="14.1" customHeight="1">
      <c r="A87" s="1766"/>
      <c r="B87" s="1740" t="s">
        <v>1389</v>
      </c>
      <c r="C87" s="1741"/>
      <c r="D87" s="1741"/>
      <c r="E87" s="1742"/>
      <c r="F87" s="1743"/>
      <c r="G87" s="1744"/>
      <c r="H87" s="1744"/>
      <c r="I87" s="1744"/>
      <c r="J87" s="1744"/>
      <c r="K87" s="1744"/>
      <c r="L87" s="1744"/>
      <c r="M87" s="360" t="s">
        <v>17</v>
      </c>
      <c r="N87" s="244"/>
      <c r="O87" s="244"/>
      <c r="P87" s="1773"/>
      <c r="Q87" s="1750" t="s">
        <v>1390</v>
      </c>
      <c r="R87" s="1750"/>
      <c r="S87" s="1750"/>
      <c r="T87" s="1751"/>
      <c r="U87" s="1752"/>
      <c r="V87" s="1753"/>
      <c r="W87" s="1753"/>
      <c r="X87" s="1753"/>
      <c r="Y87" s="1753"/>
      <c r="Z87" s="1753"/>
      <c r="AA87" s="1753"/>
      <c r="AB87" s="363" t="s">
        <v>17</v>
      </c>
      <c r="AC87" s="352"/>
      <c r="AD87" s="352"/>
      <c r="AE87" s="352"/>
      <c r="AF87" s="604"/>
      <c r="AG87" s="262"/>
      <c r="AH87" s="354"/>
      <c r="AI87" s="354"/>
      <c r="AJ87" s="354"/>
      <c r="AK87" s="355"/>
      <c r="AL87" s="354"/>
      <c r="AM87" s="354"/>
      <c r="AN87" s="354"/>
    </row>
    <row r="88" spans="1:40" s="3" customFormat="1" ht="14.1" customHeight="1">
      <c r="A88" s="1766"/>
      <c r="B88" s="1740" t="s">
        <v>1391</v>
      </c>
      <c r="C88" s="1741"/>
      <c r="D88" s="1741"/>
      <c r="E88" s="1742"/>
      <c r="F88" s="1743"/>
      <c r="G88" s="1744"/>
      <c r="H88" s="1744"/>
      <c r="I88" s="1744"/>
      <c r="J88" s="1744"/>
      <c r="K88" s="1744"/>
      <c r="L88" s="1744"/>
      <c r="M88" s="361" t="s">
        <v>17</v>
      </c>
      <c r="N88" s="245"/>
      <c r="O88" s="245"/>
      <c r="P88" s="1765" t="s">
        <v>1392</v>
      </c>
      <c r="Q88" s="1768" t="s">
        <v>1393</v>
      </c>
      <c r="R88" s="1769"/>
      <c r="S88" s="1769"/>
      <c r="T88" s="1770"/>
      <c r="U88" s="1771"/>
      <c r="V88" s="1772"/>
      <c r="W88" s="1772"/>
      <c r="X88" s="1772"/>
      <c r="Y88" s="1772"/>
      <c r="Z88" s="1772"/>
      <c r="AA88" s="1772"/>
      <c r="AB88" s="364" t="s">
        <v>17</v>
      </c>
      <c r="AC88" s="327"/>
      <c r="AD88" s="327"/>
      <c r="AE88" s="327"/>
      <c r="AF88" s="604"/>
      <c r="AG88" s="262"/>
      <c r="AH88" s="263"/>
      <c r="AI88" s="263"/>
      <c r="AJ88" s="263"/>
      <c r="AK88" s="264"/>
      <c r="AL88" s="263"/>
      <c r="AM88" s="263"/>
      <c r="AN88" s="263"/>
    </row>
    <row r="89" spans="1:40" s="3" customFormat="1" ht="14.1" customHeight="1">
      <c r="A89" s="1773"/>
      <c r="B89" s="1764" t="s">
        <v>1394</v>
      </c>
      <c r="C89" s="1750"/>
      <c r="D89" s="1750"/>
      <c r="E89" s="1751"/>
      <c r="F89" s="1752"/>
      <c r="G89" s="1753"/>
      <c r="H89" s="1753"/>
      <c r="I89" s="1753"/>
      <c r="J89" s="1753"/>
      <c r="K89" s="1753"/>
      <c r="L89" s="1753"/>
      <c r="M89" s="363" t="s">
        <v>17</v>
      </c>
      <c r="N89" s="245"/>
      <c r="O89" s="245"/>
      <c r="P89" s="1766"/>
      <c r="Q89" s="1745" t="s">
        <v>1395</v>
      </c>
      <c r="R89" s="1746"/>
      <c r="S89" s="1746"/>
      <c r="T89" s="1747"/>
      <c r="U89" s="1748"/>
      <c r="V89" s="1749"/>
      <c r="W89" s="1749"/>
      <c r="X89" s="1749"/>
      <c r="Y89" s="1749"/>
      <c r="Z89" s="1749"/>
      <c r="AA89" s="1749"/>
      <c r="AB89" s="362" t="s">
        <v>17</v>
      </c>
      <c r="AC89" s="327"/>
      <c r="AD89" s="327"/>
      <c r="AE89" s="327"/>
      <c r="AF89" s="604"/>
      <c r="AG89" s="262"/>
      <c r="AH89" s="263"/>
      <c r="AI89" s="263"/>
      <c r="AJ89" s="263"/>
      <c r="AK89" s="264"/>
      <c r="AL89" s="263"/>
      <c r="AM89" s="263"/>
      <c r="AN89" s="263"/>
    </row>
    <row r="90" spans="1:40" s="3" customFormat="1" ht="14.1" customHeight="1">
      <c r="A90" s="1765" t="s">
        <v>1396</v>
      </c>
      <c r="B90" s="1768" t="s">
        <v>1397</v>
      </c>
      <c r="C90" s="1769"/>
      <c r="D90" s="1769"/>
      <c r="E90" s="1770"/>
      <c r="F90" s="1771"/>
      <c r="G90" s="1772"/>
      <c r="H90" s="1772"/>
      <c r="I90" s="1772"/>
      <c r="J90" s="1772"/>
      <c r="K90" s="1772"/>
      <c r="L90" s="1772"/>
      <c r="M90" s="364" t="s">
        <v>17</v>
      </c>
      <c r="N90" s="245"/>
      <c r="O90" s="245"/>
      <c r="P90" s="1766"/>
      <c r="Q90" s="1745" t="s">
        <v>1398</v>
      </c>
      <c r="R90" s="1746"/>
      <c r="S90" s="1746"/>
      <c r="T90" s="1747"/>
      <c r="U90" s="1748"/>
      <c r="V90" s="1749"/>
      <c r="W90" s="1749"/>
      <c r="X90" s="1749"/>
      <c r="Y90" s="1749"/>
      <c r="Z90" s="1749"/>
      <c r="AA90" s="1749"/>
      <c r="AB90" s="361" t="s">
        <v>17</v>
      </c>
      <c r="AC90" s="287"/>
      <c r="AD90" s="287"/>
      <c r="AE90" s="287"/>
      <c r="AF90" s="604"/>
      <c r="AG90" s="262"/>
      <c r="AH90" s="263"/>
      <c r="AI90" s="263"/>
      <c r="AJ90" s="263"/>
      <c r="AK90" s="264"/>
      <c r="AL90" s="263"/>
      <c r="AM90" s="263"/>
      <c r="AN90" s="263"/>
    </row>
    <row r="91" spans="1:40" s="3" customFormat="1" ht="14.1" customHeight="1">
      <c r="A91" s="1766"/>
      <c r="B91" s="1774" t="s">
        <v>1399</v>
      </c>
      <c r="C91" s="1775"/>
      <c r="D91" s="1775"/>
      <c r="E91" s="1776"/>
      <c r="F91" s="1777"/>
      <c r="G91" s="1778"/>
      <c r="H91" s="1778"/>
      <c r="I91" s="1778"/>
      <c r="J91" s="1778"/>
      <c r="K91" s="1778"/>
      <c r="L91" s="1778"/>
      <c r="M91" s="362" t="s">
        <v>17</v>
      </c>
      <c r="N91" s="245"/>
      <c r="O91" s="245"/>
      <c r="P91" s="1766"/>
      <c r="Q91" s="1745" t="s">
        <v>1400</v>
      </c>
      <c r="R91" s="1746"/>
      <c r="S91" s="1746"/>
      <c r="T91" s="1747"/>
      <c r="U91" s="1748"/>
      <c r="V91" s="1749"/>
      <c r="W91" s="1749"/>
      <c r="X91" s="1749"/>
      <c r="Y91" s="1749"/>
      <c r="Z91" s="1749"/>
      <c r="AA91" s="1749"/>
      <c r="AB91" s="361" t="s">
        <v>17</v>
      </c>
      <c r="AC91" s="287"/>
      <c r="AD91" s="287"/>
      <c r="AE91" s="287"/>
      <c r="AF91" s="604"/>
      <c r="AG91" s="262"/>
      <c r="AH91" s="263"/>
      <c r="AI91" s="263"/>
      <c r="AJ91" s="263"/>
      <c r="AK91" s="264"/>
      <c r="AL91" s="263"/>
      <c r="AM91" s="263"/>
      <c r="AN91" s="263"/>
    </row>
    <row r="92" spans="1:40" s="3" customFormat="1" ht="14.1" customHeight="1">
      <c r="A92" s="1766"/>
      <c r="B92" s="1740" t="s">
        <v>1401</v>
      </c>
      <c r="C92" s="1741"/>
      <c r="D92" s="1741"/>
      <c r="E92" s="1742"/>
      <c r="F92" s="1743"/>
      <c r="G92" s="1744"/>
      <c r="H92" s="1744"/>
      <c r="I92" s="1744"/>
      <c r="J92" s="1744"/>
      <c r="K92" s="1744"/>
      <c r="L92" s="1744"/>
      <c r="M92" s="362" t="s">
        <v>17</v>
      </c>
      <c r="N92" s="245"/>
      <c r="O92" s="245"/>
      <c r="P92" s="1773"/>
      <c r="Q92" s="1750" t="s">
        <v>1402</v>
      </c>
      <c r="R92" s="1750"/>
      <c r="S92" s="1750"/>
      <c r="T92" s="1751"/>
      <c r="U92" s="1752"/>
      <c r="V92" s="1753"/>
      <c r="W92" s="1753"/>
      <c r="X92" s="1753"/>
      <c r="Y92" s="1753"/>
      <c r="Z92" s="1753"/>
      <c r="AA92" s="1753"/>
      <c r="AB92" s="365" t="s">
        <v>17</v>
      </c>
      <c r="AC92" s="287"/>
      <c r="AD92" s="287"/>
      <c r="AE92" s="287"/>
      <c r="AF92" s="604"/>
      <c r="AG92" s="262"/>
      <c r="AH92" s="263"/>
      <c r="AI92" s="263"/>
      <c r="AJ92" s="263"/>
      <c r="AK92" s="264"/>
      <c r="AL92" s="263"/>
      <c r="AM92" s="263"/>
      <c r="AN92" s="263"/>
    </row>
    <row r="93" spans="1:40" s="3" customFormat="1" ht="14.1" customHeight="1">
      <c r="A93" s="1766"/>
      <c r="B93" s="1740" t="s">
        <v>1403</v>
      </c>
      <c r="C93" s="1741"/>
      <c r="D93" s="1741"/>
      <c r="E93" s="1742"/>
      <c r="F93" s="1743"/>
      <c r="G93" s="1744"/>
      <c r="H93" s="1744"/>
      <c r="I93" s="1744"/>
      <c r="J93" s="1744"/>
      <c r="K93" s="1744"/>
      <c r="L93" s="1744"/>
      <c r="M93" s="362" t="s">
        <v>17</v>
      </c>
      <c r="N93" s="245"/>
      <c r="O93" s="245"/>
      <c r="P93" s="1765" t="s">
        <v>1404</v>
      </c>
      <c r="Q93" s="1768" t="s">
        <v>1405</v>
      </c>
      <c r="R93" s="1769"/>
      <c r="S93" s="1769"/>
      <c r="T93" s="1770"/>
      <c r="U93" s="1771"/>
      <c r="V93" s="1772"/>
      <c r="W93" s="1772"/>
      <c r="X93" s="1772"/>
      <c r="Y93" s="1772"/>
      <c r="Z93" s="1772"/>
      <c r="AA93" s="1772"/>
      <c r="AB93" s="364" t="s">
        <v>17</v>
      </c>
      <c r="AC93" s="287"/>
      <c r="AD93" s="287"/>
      <c r="AE93" s="287"/>
      <c r="AF93" s="604"/>
      <c r="AG93" s="262"/>
      <c r="AH93" s="263"/>
      <c r="AI93" s="263"/>
      <c r="AJ93" s="263"/>
      <c r="AK93" s="264"/>
      <c r="AL93" s="263"/>
      <c r="AM93" s="263"/>
      <c r="AN93" s="263"/>
    </row>
    <row r="94" spans="1:40" s="3" customFormat="1" ht="14.1" customHeight="1">
      <c r="A94" s="1766"/>
      <c r="B94" s="1740" t="s">
        <v>1406</v>
      </c>
      <c r="C94" s="1741"/>
      <c r="D94" s="1741"/>
      <c r="E94" s="1742"/>
      <c r="F94" s="1743"/>
      <c r="G94" s="1744"/>
      <c r="H94" s="1744"/>
      <c r="I94" s="1744"/>
      <c r="J94" s="1744"/>
      <c r="K94" s="1744"/>
      <c r="L94" s="1744"/>
      <c r="M94" s="362" t="s">
        <v>17</v>
      </c>
      <c r="N94" s="245"/>
      <c r="O94" s="245"/>
      <c r="P94" s="1766"/>
      <c r="Q94" s="1745" t="s">
        <v>1407</v>
      </c>
      <c r="R94" s="1746"/>
      <c r="S94" s="1746"/>
      <c r="T94" s="1747"/>
      <c r="U94" s="1748"/>
      <c r="V94" s="1749"/>
      <c r="W94" s="1749"/>
      <c r="X94" s="1749"/>
      <c r="Y94" s="1749"/>
      <c r="Z94" s="1749"/>
      <c r="AA94" s="1749"/>
      <c r="AB94" s="362" t="s">
        <v>17</v>
      </c>
      <c r="AC94" s="366"/>
      <c r="AD94" s="366"/>
      <c r="AE94" s="366"/>
      <c r="AF94" s="604"/>
      <c r="AG94" s="262"/>
      <c r="AH94" s="263"/>
      <c r="AI94" s="263"/>
      <c r="AJ94" s="263"/>
      <c r="AK94" s="264"/>
      <c r="AL94" s="263"/>
      <c r="AM94" s="263"/>
      <c r="AN94" s="263"/>
    </row>
    <row r="95" spans="1:40" s="3" customFormat="1" ht="14.1" customHeight="1">
      <c r="A95" s="1766"/>
      <c r="B95" s="1740" t="s">
        <v>1408</v>
      </c>
      <c r="C95" s="1741"/>
      <c r="D95" s="1741"/>
      <c r="E95" s="1742"/>
      <c r="F95" s="1743"/>
      <c r="G95" s="1744"/>
      <c r="H95" s="1744"/>
      <c r="I95" s="1744"/>
      <c r="J95" s="1744"/>
      <c r="K95" s="1744"/>
      <c r="L95" s="1744"/>
      <c r="M95" s="362" t="s">
        <v>17</v>
      </c>
      <c r="N95" s="245"/>
      <c r="O95" s="245"/>
      <c r="P95" s="1766"/>
      <c r="Q95" s="1745" t="s">
        <v>1409</v>
      </c>
      <c r="R95" s="1746"/>
      <c r="S95" s="1746"/>
      <c r="T95" s="1747"/>
      <c r="U95" s="1748"/>
      <c r="V95" s="1749"/>
      <c r="W95" s="1749"/>
      <c r="X95" s="1749"/>
      <c r="Y95" s="1749"/>
      <c r="Z95" s="1749"/>
      <c r="AA95" s="1749"/>
      <c r="AB95" s="362" t="s">
        <v>17</v>
      </c>
      <c r="AC95" s="261"/>
      <c r="AD95" s="261"/>
      <c r="AE95" s="287"/>
      <c r="AF95" s="604"/>
      <c r="AG95" s="262"/>
      <c r="AH95" s="263"/>
      <c r="AI95" s="263"/>
      <c r="AJ95" s="263"/>
      <c r="AK95" s="264"/>
      <c r="AL95" s="263"/>
      <c r="AM95" s="263"/>
      <c r="AN95" s="263"/>
    </row>
    <row r="96" spans="1:40" s="3" customFormat="1" ht="14.1" customHeight="1">
      <c r="A96" s="1773"/>
      <c r="B96" s="1764" t="s">
        <v>1410</v>
      </c>
      <c r="C96" s="1750"/>
      <c r="D96" s="1750"/>
      <c r="E96" s="1751"/>
      <c r="F96" s="1752"/>
      <c r="G96" s="1753"/>
      <c r="H96" s="1753"/>
      <c r="I96" s="1753"/>
      <c r="J96" s="1753"/>
      <c r="K96" s="1753"/>
      <c r="L96" s="1753"/>
      <c r="M96" s="363" t="s">
        <v>17</v>
      </c>
      <c r="N96" s="245"/>
      <c r="O96" s="245"/>
      <c r="P96" s="1773"/>
      <c r="Q96" s="1750" t="s">
        <v>1411</v>
      </c>
      <c r="R96" s="1750"/>
      <c r="S96" s="1750"/>
      <c r="T96" s="1751"/>
      <c r="U96" s="1752"/>
      <c r="V96" s="1753"/>
      <c r="W96" s="1753"/>
      <c r="X96" s="1753"/>
      <c r="Y96" s="1753"/>
      <c r="Z96" s="1753"/>
      <c r="AA96" s="1753"/>
      <c r="AB96" s="363" t="s">
        <v>17</v>
      </c>
      <c r="AC96" s="261"/>
      <c r="AD96" s="261"/>
      <c r="AE96" s="287"/>
      <c r="AF96" s="604"/>
      <c r="AG96" s="262"/>
      <c r="AH96" s="263"/>
      <c r="AI96" s="263"/>
      <c r="AJ96" s="263"/>
      <c r="AK96" s="264"/>
      <c r="AL96" s="263"/>
      <c r="AM96" s="263"/>
      <c r="AN96" s="263"/>
    </row>
    <row r="97" spans="1:40" s="3" customFormat="1" ht="14.1" customHeight="1">
      <c r="A97" s="1765" t="s">
        <v>1412</v>
      </c>
      <c r="B97" s="1768" t="s">
        <v>1413</v>
      </c>
      <c r="C97" s="1769"/>
      <c r="D97" s="1769"/>
      <c r="E97" s="1770"/>
      <c r="F97" s="1771"/>
      <c r="G97" s="1772"/>
      <c r="H97" s="1772"/>
      <c r="I97" s="1772"/>
      <c r="J97" s="1772"/>
      <c r="K97" s="1772"/>
      <c r="L97" s="1772"/>
      <c r="M97" s="364" t="s">
        <v>17</v>
      </c>
      <c r="N97" s="245"/>
      <c r="O97" s="245"/>
      <c r="P97" s="1765" t="s">
        <v>1414</v>
      </c>
      <c r="Q97" s="1768" t="s">
        <v>1415</v>
      </c>
      <c r="R97" s="1769"/>
      <c r="S97" s="1769"/>
      <c r="T97" s="1770"/>
      <c r="U97" s="1771"/>
      <c r="V97" s="1772"/>
      <c r="W97" s="1772"/>
      <c r="X97" s="1772"/>
      <c r="Y97" s="1772"/>
      <c r="Z97" s="1772"/>
      <c r="AA97" s="1772"/>
      <c r="AB97" s="364" t="s">
        <v>17</v>
      </c>
      <c r="AC97" s="367"/>
      <c r="AD97" s="367"/>
      <c r="AE97" s="287"/>
      <c r="AF97" s="604"/>
      <c r="AG97" s="262"/>
      <c r="AH97" s="263"/>
      <c r="AI97" s="263"/>
      <c r="AJ97" s="263"/>
      <c r="AK97" s="264"/>
      <c r="AL97" s="263"/>
      <c r="AM97" s="263"/>
      <c r="AN97" s="263"/>
    </row>
    <row r="98" spans="1:40" s="3" customFormat="1" ht="14.1" customHeight="1">
      <c r="A98" s="1766"/>
      <c r="B98" s="1740" t="s">
        <v>1416</v>
      </c>
      <c r="C98" s="1741"/>
      <c r="D98" s="1741"/>
      <c r="E98" s="1742"/>
      <c r="F98" s="1743"/>
      <c r="G98" s="1744"/>
      <c r="H98" s="1744"/>
      <c r="I98" s="1744"/>
      <c r="J98" s="1744"/>
      <c r="K98" s="1744"/>
      <c r="L98" s="1744"/>
      <c r="M98" s="362" t="s">
        <v>17</v>
      </c>
      <c r="N98" s="245"/>
      <c r="O98" s="245"/>
      <c r="P98" s="1766"/>
      <c r="Q98" s="1745" t="s">
        <v>1417</v>
      </c>
      <c r="R98" s="1746"/>
      <c r="S98" s="1746"/>
      <c r="T98" s="1747"/>
      <c r="U98" s="1748"/>
      <c r="V98" s="1749"/>
      <c r="W98" s="1749"/>
      <c r="X98" s="1749"/>
      <c r="Y98" s="1749"/>
      <c r="Z98" s="1749"/>
      <c r="AA98" s="1749"/>
      <c r="AB98" s="362" t="s">
        <v>17</v>
      </c>
      <c r="AC98" s="367"/>
      <c r="AD98" s="367"/>
      <c r="AE98" s="287"/>
      <c r="AF98" s="604"/>
      <c r="AG98" s="262"/>
      <c r="AH98" s="263"/>
      <c r="AI98" s="263"/>
      <c r="AJ98" s="263"/>
      <c r="AK98" s="264"/>
      <c r="AL98" s="263"/>
      <c r="AM98" s="263"/>
      <c r="AN98" s="263"/>
    </row>
    <row r="99" spans="1:40" s="3" customFormat="1" ht="14.1" customHeight="1">
      <c r="A99" s="1766"/>
      <c r="B99" s="1740" t="s">
        <v>1418</v>
      </c>
      <c r="C99" s="1741"/>
      <c r="D99" s="1741"/>
      <c r="E99" s="1742"/>
      <c r="F99" s="1743"/>
      <c r="G99" s="1744"/>
      <c r="H99" s="1744"/>
      <c r="I99" s="1744"/>
      <c r="J99" s="1744"/>
      <c r="K99" s="1744"/>
      <c r="L99" s="1744"/>
      <c r="M99" s="361" t="s">
        <v>17</v>
      </c>
      <c r="N99" s="245"/>
      <c r="O99" s="245"/>
      <c r="P99" s="1766"/>
      <c r="Q99" s="1745" t="s">
        <v>1419</v>
      </c>
      <c r="R99" s="1746"/>
      <c r="S99" s="1746"/>
      <c r="T99" s="1747"/>
      <c r="U99" s="1748"/>
      <c r="V99" s="1749"/>
      <c r="W99" s="1749"/>
      <c r="X99" s="1749"/>
      <c r="Y99" s="1749"/>
      <c r="Z99" s="1749"/>
      <c r="AA99" s="1749"/>
      <c r="AB99" s="361" t="s">
        <v>17</v>
      </c>
      <c r="AC99" s="367"/>
      <c r="AD99" s="367"/>
      <c r="AE99" s="287"/>
      <c r="AF99" s="604"/>
      <c r="AG99" s="262"/>
      <c r="AH99" s="263"/>
      <c r="AI99" s="263"/>
      <c r="AJ99" s="263"/>
      <c r="AK99" s="264"/>
      <c r="AL99" s="263"/>
      <c r="AM99" s="263"/>
      <c r="AN99" s="263"/>
    </row>
    <row r="100" spans="1:40" s="2" customFormat="1" ht="14.1" customHeight="1">
      <c r="A100" s="1766"/>
      <c r="B100" s="1740" t="s">
        <v>1420</v>
      </c>
      <c r="C100" s="1741"/>
      <c r="D100" s="1741"/>
      <c r="E100" s="1742"/>
      <c r="F100" s="1743"/>
      <c r="G100" s="1744"/>
      <c r="H100" s="1744"/>
      <c r="I100" s="1744"/>
      <c r="J100" s="1744"/>
      <c r="K100" s="1744"/>
      <c r="L100" s="1744"/>
      <c r="M100" s="360" t="s">
        <v>17</v>
      </c>
      <c r="N100" s="244"/>
      <c r="O100" s="244"/>
      <c r="P100" s="1766"/>
      <c r="Q100" s="1745" t="s">
        <v>1421</v>
      </c>
      <c r="R100" s="1746"/>
      <c r="S100" s="1746"/>
      <c r="T100" s="1747"/>
      <c r="U100" s="1748"/>
      <c r="V100" s="1749"/>
      <c r="W100" s="1749"/>
      <c r="X100" s="1749"/>
      <c r="Y100" s="1749"/>
      <c r="Z100" s="1749"/>
      <c r="AA100" s="1749"/>
      <c r="AB100" s="360" t="s">
        <v>17</v>
      </c>
      <c r="AC100" s="367"/>
      <c r="AD100" s="367"/>
      <c r="AE100" s="352"/>
      <c r="AF100" s="604"/>
      <c r="AG100" s="262"/>
      <c r="AH100" s="354"/>
      <c r="AI100" s="354"/>
      <c r="AJ100" s="354"/>
      <c r="AK100" s="355"/>
      <c r="AL100" s="354"/>
      <c r="AM100" s="354"/>
      <c r="AN100" s="354"/>
    </row>
    <row r="101" spans="1:40" s="2" customFormat="1" ht="14.1" customHeight="1">
      <c r="A101" s="1766"/>
      <c r="B101" s="1740" t="s">
        <v>1422</v>
      </c>
      <c r="C101" s="1741"/>
      <c r="D101" s="1741"/>
      <c r="E101" s="1742"/>
      <c r="F101" s="1743"/>
      <c r="G101" s="1744"/>
      <c r="H101" s="1744"/>
      <c r="I101" s="1744"/>
      <c r="J101" s="1744"/>
      <c r="K101" s="1744"/>
      <c r="L101" s="1744"/>
      <c r="M101" s="362" t="s">
        <v>17</v>
      </c>
      <c r="N101" s="244"/>
      <c r="O101" s="244"/>
      <c r="P101" s="1766"/>
      <c r="Q101" s="1745" t="s">
        <v>1423</v>
      </c>
      <c r="R101" s="1746"/>
      <c r="S101" s="1746"/>
      <c r="T101" s="1747"/>
      <c r="U101" s="1748"/>
      <c r="V101" s="1749"/>
      <c r="W101" s="1749"/>
      <c r="X101" s="1749"/>
      <c r="Y101" s="1749"/>
      <c r="Z101" s="1749"/>
      <c r="AA101" s="1749"/>
      <c r="AB101" s="361" t="s">
        <v>17</v>
      </c>
      <c r="AC101" s="367"/>
      <c r="AD101" s="367"/>
      <c r="AE101" s="352"/>
      <c r="AF101" s="604"/>
      <c r="AG101" s="262"/>
      <c r="AH101" s="354"/>
      <c r="AI101" s="354"/>
      <c r="AJ101" s="354"/>
      <c r="AK101" s="355"/>
      <c r="AL101" s="354"/>
      <c r="AM101" s="354"/>
      <c r="AN101" s="354"/>
    </row>
    <row r="102" spans="1:40" s="2" customFormat="1" ht="14.1" customHeight="1">
      <c r="A102" s="1766"/>
      <c r="B102" s="1740" t="s">
        <v>1424</v>
      </c>
      <c r="C102" s="1741"/>
      <c r="D102" s="1741"/>
      <c r="E102" s="1742"/>
      <c r="F102" s="1743"/>
      <c r="G102" s="1744"/>
      <c r="H102" s="1744"/>
      <c r="I102" s="1744"/>
      <c r="J102" s="1744"/>
      <c r="K102" s="1744"/>
      <c r="L102" s="1744"/>
      <c r="M102" s="361" t="s">
        <v>17</v>
      </c>
      <c r="N102" s="244"/>
      <c r="O102" s="244"/>
      <c r="P102" s="1766"/>
      <c r="Q102" s="1745" t="s">
        <v>1425</v>
      </c>
      <c r="R102" s="1746"/>
      <c r="S102" s="1746"/>
      <c r="T102" s="1747"/>
      <c r="U102" s="1748"/>
      <c r="V102" s="1749"/>
      <c r="W102" s="1749"/>
      <c r="X102" s="1749"/>
      <c r="Y102" s="1749"/>
      <c r="Z102" s="1749"/>
      <c r="AA102" s="1749"/>
      <c r="AB102" s="361" t="s">
        <v>17</v>
      </c>
      <c r="AC102" s="367"/>
      <c r="AD102" s="367"/>
      <c r="AE102" s="352"/>
      <c r="AF102" s="604"/>
      <c r="AG102" s="262"/>
      <c r="AH102" s="354"/>
      <c r="AI102" s="354"/>
      <c r="AJ102" s="354"/>
      <c r="AK102" s="355"/>
      <c r="AL102" s="354"/>
      <c r="AM102" s="354"/>
      <c r="AN102" s="354"/>
    </row>
    <row r="103" spans="1:40" s="2" customFormat="1" ht="14.1" customHeight="1">
      <c r="A103" s="1766"/>
      <c r="B103" s="1740" t="s">
        <v>1426</v>
      </c>
      <c r="C103" s="1741"/>
      <c r="D103" s="1741"/>
      <c r="E103" s="1742"/>
      <c r="F103" s="1743"/>
      <c r="G103" s="1744"/>
      <c r="H103" s="1744"/>
      <c r="I103" s="1744"/>
      <c r="J103" s="1744"/>
      <c r="K103" s="1744"/>
      <c r="L103" s="1744"/>
      <c r="M103" s="361" t="s">
        <v>17</v>
      </c>
      <c r="N103" s="244"/>
      <c r="O103" s="244"/>
      <c r="P103" s="1766"/>
      <c r="Q103" s="1745" t="s">
        <v>1427</v>
      </c>
      <c r="R103" s="1746"/>
      <c r="S103" s="1746"/>
      <c r="T103" s="1747"/>
      <c r="U103" s="1748"/>
      <c r="V103" s="1749"/>
      <c r="W103" s="1749"/>
      <c r="X103" s="1749"/>
      <c r="Y103" s="1749"/>
      <c r="Z103" s="1749"/>
      <c r="AA103" s="1749"/>
      <c r="AB103" s="361" t="s">
        <v>17</v>
      </c>
      <c r="AC103" s="367"/>
      <c r="AD103" s="367"/>
      <c r="AE103" s="352"/>
      <c r="AF103" s="604"/>
      <c r="AG103" s="262"/>
      <c r="AH103" s="354"/>
      <c r="AI103" s="354"/>
      <c r="AJ103" s="354"/>
      <c r="AK103" s="355"/>
      <c r="AL103" s="354"/>
      <c r="AM103" s="354"/>
      <c r="AN103" s="354"/>
    </row>
    <row r="104" spans="1:40" s="2" customFormat="1" ht="14.1" customHeight="1">
      <c r="A104" s="1766"/>
      <c r="B104" s="1740" t="s">
        <v>1428</v>
      </c>
      <c r="C104" s="1741"/>
      <c r="D104" s="1741"/>
      <c r="E104" s="1742"/>
      <c r="F104" s="1743"/>
      <c r="G104" s="1744"/>
      <c r="H104" s="1744"/>
      <c r="I104" s="1744"/>
      <c r="J104" s="1744"/>
      <c r="K104" s="1744"/>
      <c r="L104" s="1744"/>
      <c r="M104" s="360" t="s">
        <v>17</v>
      </c>
      <c r="N104" s="244"/>
      <c r="O104" s="244"/>
      <c r="P104" s="1773"/>
      <c r="Q104" s="1750" t="s">
        <v>1429</v>
      </c>
      <c r="R104" s="1750"/>
      <c r="S104" s="1750"/>
      <c r="T104" s="1751"/>
      <c r="U104" s="1752"/>
      <c r="V104" s="1753"/>
      <c r="W104" s="1753"/>
      <c r="X104" s="1753"/>
      <c r="Y104" s="1753"/>
      <c r="Z104" s="1753"/>
      <c r="AA104" s="1753"/>
      <c r="AB104" s="363" t="s">
        <v>17</v>
      </c>
      <c r="AC104" s="367"/>
      <c r="AD104" s="367"/>
      <c r="AE104" s="352"/>
      <c r="AF104" s="604"/>
      <c r="AG104" s="262"/>
      <c r="AH104" s="354"/>
      <c r="AI104" s="354"/>
      <c r="AJ104" s="354"/>
      <c r="AK104" s="355"/>
      <c r="AL104" s="354"/>
      <c r="AM104" s="354"/>
      <c r="AN104" s="354"/>
    </row>
    <row r="105" spans="1:40" s="2" customFormat="1" ht="14.1" customHeight="1" thickBot="1">
      <c r="A105" s="1767"/>
      <c r="B105" s="1754" t="s">
        <v>1430</v>
      </c>
      <c r="C105" s="1755"/>
      <c r="D105" s="1755"/>
      <c r="E105" s="1756"/>
      <c r="F105" s="1757"/>
      <c r="G105" s="1758"/>
      <c r="H105" s="1758"/>
      <c r="I105" s="1758"/>
      <c r="J105" s="1758"/>
      <c r="K105" s="1758"/>
      <c r="L105" s="1758"/>
      <c r="M105" s="368" t="s">
        <v>17</v>
      </c>
      <c r="N105" s="244"/>
      <c r="O105" s="244"/>
      <c r="P105" s="1759" t="s">
        <v>1431</v>
      </c>
      <c r="Q105" s="1760"/>
      <c r="R105" s="1760"/>
      <c r="S105" s="1760"/>
      <c r="T105" s="1761"/>
      <c r="U105" s="1762"/>
      <c r="V105" s="1763"/>
      <c r="W105" s="1763"/>
      <c r="X105" s="1763"/>
      <c r="Y105" s="1763"/>
      <c r="Z105" s="1763"/>
      <c r="AA105" s="1763"/>
      <c r="AB105" s="369" t="s">
        <v>17</v>
      </c>
      <c r="AC105" s="367"/>
      <c r="AD105" s="367"/>
      <c r="AE105" s="352"/>
      <c r="AF105" s="604"/>
      <c r="AG105" s="262"/>
      <c r="AH105" s="354"/>
      <c r="AI105" s="354"/>
      <c r="AJ105" s="354"/>
      <c r="AK105" s="355"/>
      <c r="AL105" s="354"/>
      <c r="AM105" s="354"/>
      <c r="AN105" s="354"/>
    </row>
    <row r="106" spans="1:40" s="2" customFormat="1" ht="14.1" customHeight="1" thickBot="1">
      <c r="A106" s="352"/>
      <c r="B106" s="370"/>
      <c r="C106" s="371"/>
      <c r="D106" s="371"/>
      <c r="E106" s="371"/>
      <c r="F106" s="371"/>
      <c r="G106" s="371"/>
      <c r="H106" s="371"/>
      <c r="I106" s="367"/>
      <c r="J106" s="367"/>
      <c r="K106" s="372"/>
      <c r="L106" s="244"/>
      <c r="M106" s="244"/>
      <c r="N106" s="244"/>
      <c r="O106" s="244"/>
      <c r="P106" s="1735" t="s">
        <v>9</v>
      </c>
      <c r="Q106" s="1736"/>
      <c r="R106" s="1736"/>
      <c r="S106" s="1736"/>
      <c r="T106" s="1737"/>
      <c r="U106" s="1738">
        <f>SUM(F82:L105)+SUM(U82:AA105)</f>
        <v>0</v>
      </c>
      <c r="V106" s="1739"/>
      <c r="W106" s="1739"/>
      <c r="X106" s="1739"/>
      <c r="Y106" s="1739"/>
      <c r="Z106" s="1739"/>
      <c r="AA106" s="1739"/>
      <c r="AB106" s="373" t="s">
        <v>17</v>
      </c>
      <c r="AC106" s="367"/>
      <c r="AD106" s="367"/>
      <c r="AE106" s="352"/>
      <c r="AF106" s="604" t="str">
        <f>IF(U106=0,"←「在住地別生徒数」が未記入です。",IF(AND(NOT(G79=U106)),"←在籍者（生徒）数と在住地別生徒数の合計が一致しません。",""))</f>
        <v>←「在住地別生徒数」が未記入です。</v>
      </c>
      <c r="AG106" s="262"/>
      <c r="AH106" s="354"/>
      <c r="AI106" s="354"/>
      <c r="AJ106" s="354"/>
      <c r="AK106" s="355"/>
      <c r="AL106" s="354"/>
      <c r="AM106" s="354"/>
      <c r="AN106" s="354"/>
    </row>
    <row r="107" spans="1:40" s="2" customFormat="1" ht="11.65" customHeight="1">
      <c r="A107" s="352"/>
      <c r="B107" s="374"/>
      <c r="C107" s="371"/>
      <c r="D107" s="371"/>
      <c r="E107" s="371"/>
      <c r="F107" s="371"/>
      <c r="G107" s="371"/>
      <c r="H107" s="371"/>
      <c r="I107" s="367"/>
      <c r="J107" s="367"/>
      <c r="K107" s="367"/>
      <c r="L107" s="375"/>
      <c r="M107" s="375"/>
      <c r="N107" s="244"/>
      <c r="O107" s="244"/>
      <c r="P107" s="376"/>
      <c r="Q107" s="377"/>
      <c r="R107" s="377"/>
      <c r="S107" s="377"/>
      <c r="T107" s="377"/>
      <c r="U107" s="377"/>
      <c r="V107" s="377"/>
      <c r="W107" s="377"/>
      <c r="X107" s="375"/>
      <c r="Y107" s="371"/>
      <c r="Z107" s="367"/>
      <c r="AA107" s="367"/>
      <c r="AB107" s="367"/>
      <c r="AC107" s="367"/>
      <c r="AD107" s="367"/>
      <c r="AE107" s="352"/>
      <c r="AF107" s="604"/>
      <c r="AG107" s="262"/>
      <c r="AH107" s="354"/>
      <c r="AI107" s="354"/>
      <c r="AJ107" s="354"/>
      <c r="AK107" s="355"/>
      <c r="AL107" s="354"/>
      <c r="AM107" s="354"/>
      <c r="AN107" s="354"/>
    </row>
    <row r="108" spans="1:40" s="2" customFormat="1" ht="11.65" customHeight="1">
      <c r="A108" s="352"/>
      <c r="B108" s="374"/>
      <c r="C108" s="371"/>
      <c r="D108" s="371"/>
      <c r="E108" s="371"/>
      <c r="F108" s="371"/>
      <c r="G108" s="371"/>
      <c r="H108" s="371"/>
      <c r="I108" s="367"/>
      <c r="J108" s="367"/>
      <c r="K108" s="367"/>
      <c r="L108" s="375"/>
      <c r="M108" s="375"/>
      <c r="N108" s="244"/>
      <c r="O108" s="244"/>
      <c r="P108" s="375"/>
      <c r="Q108" s="375"/>
      <c r="R108" s="375"/>
      <c r="S108" s="375"/>
      <c r="T108" s="375"/>
      <c r="U108" s="375"/>
      <c r="V108" s="375"/>
      <c r="W108" s="375"/>
      <c r="X108" s="375"/>
      <c r="Y108" s="371"/>
      <c r="Z108" s="367"/>
      <c r="AA108" s="367"/>
      <c r="AB108" s="367"/>
      <c r="AC108" s="367"/>
      <c r="AD108" s="367"/>
      <c r="AE108" s="352"/>
      <c r="AF108" s="604"/>
      <c r="AG108" s="262"/>
      <c r="AH108" s="354"/>
      <c r="AI108" s="354"/>
      <c r="AJ108" s="354"/>
      <c r="AK108" s="355"/>
      <c r="AL108" s="354"/>
      <c r="AM108" s="354"/>
      <c r="AN108" s="354"/>
    </row>
    <row r="109" spans="1:40" s="2" customFormat="1" ht="11.65" customHeight="1">
      <c r="A109" s="352"/>
      <c r="B109" s="374"/>
      <c r="C109" s="371"/>
      <c r="D109" s="371"/>
      <c r="E109" s="371"/>
      <c r="F109" s="371"/>
      <c r="G109" s="371"/>
      <c r="H109" s="371"/>
      <c r="I109" s="367"/>
      <c r="J109" s="367"/>
      <c r="K109" s="367"/>
      <c r="L109" s="375"/>
      <c r="M109" s="375"/>
      <c r="N109" s="244"/>
      <c r="O109" s="244"/>
      <c r="P109" s="375"/>
      <c r="Q109" s="375"/>
      <c r="R109" s="375"/>
      <c r="S109" s="375"/>
      <c r="T109" s="375"/>
      <c r="U109" s="375"/>
      <c r="V109" s="375"/>
      <c r="W109" s="375"/>
      <c r="X109" s="375"/>
      <c r="Y109" s="371"/>
      <c r="Z109" s="367"/>
      <c r="AA109" s="367"/>
      <c r="AB109" s="367"/>
      <c r="AC109" s="367"/>
      <c r="AD109" s="367"/>
      <c r="AE109" s="352"/>
      <c r="AF109" s="604"/>
      <c r="AG109" s="262"/>
      <c r="AH109" s="354"/>
      <c r="AI109" s="354"/>
      <c r="AJ109" s="354"/>
      <c r="AK109" s="355"/>
      <c r="AL109" s="354"/>
      <c r="AM109" s="354"/>
      <c r="AN109" s="354"/>
    </row>
    <row r="110" spans="1:40" s="2" customFormat="1" ht="11.65" customHeight="1">
      <c r="A110" s="352"/>
      <c r="B110" s="374"/>
      <c r="C110" s="371"/>
      <c r="D110" s="371"/>
      <c r="E110" s="371"/>
      <c r="F110" s="371"/>
      <c r="G110" s="371"/>
      <c r="H110" s="371"/>
      <c r="I110" s="367"/>
      <c r="J110" s="367"/>
      <c r="K110" s="367"/>
      <c r="L110" s="375"/>
      <c r="M110" s="375"/>
      <c r="N110" s="244"/>
      <c r="O110" s="244"/>
      <c r="P110" s="375"/>
      <c r="Q110" s="375"/>
      <c r="R110" s="375"/>
      <c r="S110" s="375"/>
      <c r="T110" s="375"/>
      <c r="U110" s="375"/>
      <c r="V110" s="375"/>
      <c r="W110" s="375"/>
      <c r="X110" s="375"/>
      <c r="Y110" s="371"/>
      <c r="Z110" s="367"/>
      <c r="AA110" s="367"/>
      <c r="AB110" s="367"/>
      <c r="AC110" s="367"/>
      <c r="AD110" s="367"/>
      <c r="AE110" s="352"/>
      <c r="AF110" s="604"/>
      <c r="AG110" s="262"/>
      <c r="AH110" s="354"/>
      <c r="AI110" s="354"/>
      <c r="AJ110" s="354"/>
      <c r="AK110" s="355"/>
      <c r="AL110" s="354"/>
      <c r="AM110" s="354"/>
      <c r="AN110" s="354"/>
    </row>
    <row r="111" spans="1:40" s="2" customFormat="1" ht="3.6" customHeight="1">
      <c r="A111" s="353"/>
      <c r="B111" s="378"/>
      <c r="C111" s="378"/>
      <c r="D111" s="378"/>
      <c r="E111" s="378"/>
      <c r="F111" s="352"/>
      <c r="G111" s="352"/>
      <c r="H111" s="352"/>
      <c r="I111" s="352"/>
      <c r="J111" s="352"/>
      <c r="K111" s="352"/>
      <c r="L111" s="352"/>
      <c r="M111" s="352"/>
      <c r="N111" s="244"/>
      <c r="O111" s="244"/>
      <c r="P111" s="375"/>
      <c r="Q111" s="375"/>
      <c r="R111" s="375"/>
      <c r="S111" s="375"/>
      <c r="T111" s="375"/>
      <c r="U111" s="375"/>
      <c r="V111" s="375"/>
      <c r="W111" s="375"/>
      <c r="X111" s="352"/>
      <c r="Y111" s="352"/>
      <c r="Z111" s="352"/>
      <c r="AA111" s="352"/>
      <c r="AB111" s="352"/>
      <c r="AC111" s="352"/>
      <c r="AD111" s="352"/>
      <c r="AE111" s="352"/>
      <c r="AF111" s="604"/>
      <c r="AG111" s="262"/>
      <c r="AH111" s="354"/>
      <c r="AI111" s="354"/>
      <c r="AJ111" s="354"/>
      <c r="AK111" s="355"/>
      <c r="AL111" s="354"/>
      <c r="AM111" s="354"/>
      <c r="AN111" s="354"/>
    </row>
    <row r="112" spans="1:40" s="2" customFormat="1" ht="15" customHeight="1" thickBot="1">
      <c r="A112" s="379" t="s">
        <v>1262</v>
      </c>
      <c r="B112" s="380"/>
      <c r="C112" s="380"/>
      <c r="D112" s="380"/>
      <c r="E112" s="380"/>
      <c r="F112" s="380"/>
      <c r="G112" s="380"/>
      <c r="H112" s="380"/>
      <c r="I112" s="380"/>
      <c r="J112" s="380"/>
      <c r="K112" s="380"/>
      <c r="L112" s="380"/>
      <c r="M112" s="380"/>
      <c r="N112" s="380"/>
      <c r="O112" s="352"/>
      <c r="P112" s="352"/>
      <c r="Q112" s="352"/>
      <c r="R112" s="352"/>
      <c r="S112" s="352"/>
      <c r="T112" s="352"/>
      <c r="U112" s="352"/>
      <c r="V112" s="352"/>
      <c r="W112" s="352"/>
      <c r="X112" s="352"/>
      <c r="Y112" s="352"/>
      <c r="Z112" s="352"/>
      <c r="AA112" s="381"/>
      <c r="AB112" s="381"/>
      <c r="AC112" s="381"/>
      <c r="AD112" s="381"/>
      <c r="AE112" s="382" t="s">
        <v>1</v>
      </c>
      <c r="AF112" s="604"/>
      <c r="AG112" s="262"/>
      <c r="AH112" s="354"/>
      <c r="AI112" s="354"/>
      <c r="AJ112" s="354"/>
      <c r="AK112" s="355"/>
      <c r="AL112" s="354"/>
      <c r="AM112" s="354"/>
      <c r="AN112" s="354"/>
    </row>
    <row r="113" spans="1:40" s="2" customFormat="1" ht="14.1" customHeight="1">
      <c r="A113" s="1716" t="s">
        <v>1361</v>
      </c>
      <c r="B113" s="1725"/>
      <c r="C113" s="1725"/>
      <c r="D113" s="1725"/>
      <c r="E113" s="1725"/>
      <c r="F113" s="1726"/>
      <c r="G113" s="1727" t="s">
        <v>1432</v>
      </c>
      <c r="H113" s="1728"/>
      <c r="I113" s="1728"/>
      <c r="J113" s="1729"/>
      <c r="K113" s="1730" t="s">
        <v>1433</v>
      </c>
      <c r="L113" s="1731"/>
      <c r="M113" s="1731"/>
      <c r="N113" s="1732"/>
      <c r="O113" s="1730" t="s">
        <v>1434</v>
      </c>
      <c r="P113" s="1731"/>
      <c r="Q113" s="1731"/>
      <c r="R113" s="1732"/>
      <c r="S113" s="1730" t="s">
        <v>1435</v>
      </c>
      <c r="T113" s="1731"/>
      <c r="U113" s="1731"/>
      <c r="V113" s="1732"/>
      <c r="W113" s="1733" t="s">
        <v>1436</v>
      </c>
      <c r="X113" s="1734"/>
      <c r="Y113" s="1734"/>
      <c r="Z113" s="1734"/>
      <c r="AA113" s="1716" t="s">
        <v>1437</v>
      </c>
      <c r="AB113" s="1717"/>
      <c r="AC113" s="1717"/>
      <c r="AD113" s="1717"/>
      <c r="AE113" s="1718"/>
      <c r="AF113" s="607" t="str">
        <f>IF(SUM(AG113:AK113)&gt;0,"←各納付金を入力してください。設定のない項目については「0」を入力してください。","")</f>
        <v/>
      </c>
      <c r="AG113" s="383" t="str">
        <f>IF(W57=0,"",
IF(OR(AA116="",AA116=0),13-COUNT(G114:I120,G122:I123,G125:I126,G128:I129),9-COUNT(G115:I120,G123,G126,G129)))</f>
        <v/>
      </c>
      <c r="AH113" s="383" t="str">
        <f>IF(W59=0,"",
IF(OR(AA116="",AA116=0),13-COUNT(K114:M120,K122:M123,K125:M126,K128:M129),9-COUNT(K115:M120,K123,K126,K129)))</f>
        <v/>
      </c>
      <c r="AI113" s="383" t="str">
        <f>IF(W61=0,"",
IF(OR(AA116="",AA116=0),13-COUNT(O114:Q120,O122:Q123,O125:Q126,O128:Q129),9-COUNT(O115:Q120,O123,O126,O129)))</f>
        <v/>
      </c>
      <c r="AJ113" s="383" t="str">
        <f>IF(W63=0,"",
IF(OR(AA116="",AA116=0),13-COUNT(S114:U120,S122:U123,S125:U126,S128:U129),9-COUNT(S115:U120,S123,S126,S129)))</f>
        <v/>
      </c>
      <c r="AK113" s="383" t="str">
        <f>IF(SUM(N65:W72)=0,"",
IF(OR(AA116="",AA116=0),13-COUNT(W114:Y120,W122:Y123,W125:Y126,W128:Y129),9-COUNT(W115:Y120,W123,W126,W129)))</f>
        <v/>
      </c>
      <c r="AL113" s="354"/>
      <c r="AM113" s="354"/>
      <c r="AN113" s="354"/>
    </row>
    <row r="114" spans="1:40" s="2" customFormat="1" ht="19.5" customHeight="1">
      <c r="A114" s="629" t="s">
        <v>1227</v>
      </c>
      <c r="B114" s="630"/>
      <c r="C114" s="1721" t="s">
        <v>1236</v>
      </c>
      <c r="D114" s="1721"/>
      <c r="E114" s="1721"/>
      <c r="F114" s="1721"/>
      <c r="G114" s="1682"/>
      <c r="H114" s="1683"/>
      <c r="I114" s="1683"/>
      <c r="J114" s="384" t="s">
        <v>18</v>
      </c>
      <c r="K114" s="1682"/>
      <c r="L114" s="1683"/>
      <c r="M114" s="1683"/>
      <c r="N114" s="384" t="s">
        <v>18</v>
      </c>
      <c r="O114" s="1682"/>
      <c r="P114" s="1683"/>
      <c r="Q114" s="1683"/>
      <c r="R114" s="384" t="s">
        <v>18</v>
      </c>
      <c r="S114" s="1682"/>
      <c r="T114" s="1683"/>
      <c r="U114" s="1683"/>
      <c r="V114" s="385" t="s">
        <v>18</v>
      </c>
      <c r="W114" s="1682"/>
      <c r="X114" s="1683"/>
      <c r="Y114" s="1683"/>
      <c r="Z114" s="386" t="s">
        <v>18</v>
      </c>
      <c r="AA114" s="1722" t="s">
        <v>1438</v>
      </c>
      <c r="AB114" s="1723"/>
      <c r="AC114" s="1723"/>
      <c r="AD114" s="1723"/>
      <c r="AE114" s="1724"/>
      <c r="AF114" s="1697" t="str">
        <f>IF(L55=0,"",
IF(AA116="","←1単位当り授業料が設定されている場合は、備考欄に記入してください。",""))</f>
        <v/>
      </c>
      <c r="AG114" s="262"/>
      <c r="AH114" s="354"/>
      <c r="AI114" s="354"/>
      <c r="AJ114" s="354"/>
      <c r="AK114" s="355"/>
      <c r="AL114" s="354"/>
      <c r="AM114" s="354"/>
      <c r="AN114" s="354"/>
    </row>
    <row r="115" spans="1:40" s="2" customFormat="1" ht="19.5" customHeight="1">
      <c r="A115" s="629"/>
      <c r="B115" s="630"/>
      <c r="C115" s="1704" t="s">
        <v>1235</v>
      </c>
      <c r="D115" s="1704"/>
      <c r="E115" s="1704"/>
      <c r="F115" s="1704"/>
      <c r="G115" s="1705"/>
      <c r="H115" s="1706"/>
      <c r="I115" s="1706"/>
      <c r="J115" s="387" t="s">
        <v>18</v>
      </c>
      <c r="K115" s="1705"/>
      <c r="L115" s="1706"/>
      <c r="M115" s="1706"/>
      <c r="N115" s="387" t="s">
        <v>18</v>
      </c>
      <c r="O115" s="1705"/>
      <c r="P115" s="1706"/>
      <c r="Q115" s="1706"/>
      <c r="R115" s="387" t="s">
        <v>18</v>
      </c>
      <c r="S115" s="1705"/>
      <c r="T115" s="1706"/>
      <c r="U115" s="1706"/>
      <c r="V115" s="388" t="s">
        <v>18</v>
      </c>
      <c r="W115" s="1705"/>
      <c r="X115" s="1706"/>
      <c r="Y115" s="1706"/>
      <c r="Z115" s="389" t="s">
        <v>18</v>
      </c>
      <c r="AA115" s="1707" t="s">
        <v>1439</v>
      </c>
      <c r="AB115" s="1708"/>
      <c r="AC115" s="1708"/>
      <c r="AD115" s="1708"/>
      <c r="AE115" s="1709"/>
      <c r="AF115" s="1697"/>
      <c r="AG115" s="262"/>
      <c r="AH115" s="354"/>
      <c r="AI115" s="354"/>
      <c r="AJ115" s="354"/>
      <c r="AK115" s="355"/>
      <c r="AL115" s="354"/>
      <c r="AM115" s="354"/>
      <c r="AN115" s="354"/>
    </row>
    <row r="116" spans="1:40" s="2" customFormat="1" ht="19.5" customHeight="1">
      <c r="A116" s="629"/>
      <c r="B116" s="630"/>
      <c r="C116" s="1704" t="s">
        <v>1237</v>
      </c>
      <c r="D116" s="1704"/>
      <c r="E116" s="1704"/>
      <c r="F116" s="1704"/>
      <c r="G116" s="1705"/>
      <c r="H116" s="1706"/>
      <c r="I116" s="1706"/>
      <c r="J116" s="387" t="s">
        <v>18</v>
      </c>
      <c r="K116" s="1705"/>
      <c r="L116" s="1706"/>
      <c r="M116" s="1706"/>
      <c r="N116" s="387" t="s">
        <v>18</v>
      </c>
      <c r="O116" s="1705"/>
      <c r="P116" s="1706"/>
      <c r="Q116" s="1706"/>
      <c r="R116" s="387" t="s">
        <v>18</v>
      </c>
      <c r="S116" s="1705"/>
      <c r="T116" s="1706"/>
      <c r="U116" s="1706"/>
      <c r="V116" s="388" t="s">
        <v>18</v>
      </c>
      <c r="W116" s="1705"/>
      <c r="X116" s="1706"/>
      <c r="Y116" s="1706"/>
      <c r="Z116" s="389" t="s">
        <v>18</v>
      </c>
      <c r="AA116" s="1710"/>
      <c r="AB116" s="1711"/>
      <c r="AC116" s="1711"/>
      <c r="AD116" s="1712"/>
      <c r="AE116" s="390"/>
      <c r="AF116" s="1697"/>
      <c r="AG116" s="262"/>
      <c r="AH116" s="354"/>
      <c r="AI116" s="354"/>
      <c r="AJ116" s="354"/>
      <c r="AK116" s="355"/>
      <c r="AL116" s="354"/>
      <c r="AM116" s="354"/>
      <c r="AN116" s="354"/>
    </row>
    <row r="117" spans="1:40" s="2" customFormat="1" ht="19.5" customHeight="1">
      <c r="A117" s="629"/>
      <c r="B117" s="630"/>
      <c r="C117" s="1704" t="s">
        <v>1238</v>
      </c>
      <c r="D117" s="1704"/>
      <c r="E117" s="1704"/>
      <c r="F117" s="1704"/>
      <c r="G117" s="1705"/>
      <c r="H117" s="1706"/>
      <c r="I117" s="1706"/>
      <c r="J117" s="387" t="s">
        <v>18</v>
      </c>
      <c r="K117" s="1705"/>
      <c r="L117" s="1706"/>
      <c r="M117" s="1706"/>
      <c r="N117" s="387" t="s">
        <v>18</v>
      </c>
      <c r="O117" s="1705"/>
      <c r="P117" s="1706"/>
      <c r="Q117" s="1706"/>
      <c r="R117" s="387" t="s">
        <v>18</v>
      </c>
      <c r="S117" s="1705"/>
      <c r="T117" s="1706"/>
      <c r="U117" s="1706"/>
      <c r="V117" s="388" t="s">
        <v>18</v>
      </c>
      <c r="W117" s="1705"/>
      <c r="X117" s="1706"/>
      <c r="Y117" s="1706"/>
      <c r="Z117" s="389" t="s">
        <v>18</v>
      </c>
      <c r="AA117" s="1713"/>
      <c r="AB117" s="1714"/>
      <c r="AC117" s="1714"/>
      <c r="AD117" s="1715"/>
      <c r="AE117" s="391" t="s">
        <v>1440</v>
      </c>
      <c r="AF117" s="1697"/>
      <c r="AG117" s="262"/>
      <c r="AH117" s="354"/>
      <c r="AI117" s="354"/>
      <c r="AJ117" s="354"/>
      <c r="AK117" s="355"/>
      <c r="AL117" s="354"/>
      <c r="AM117" s="354"/>
      <c r="AN117" s="354"/>
    </row>
    <row r="118" spans="1:40" s="2" customFormat="1" ht="19.5" customHeight="1">
      <c r="A118" s="629"/>
      <c r="B118" s="630"/>
      <c r="C118" s="1704" t="s">
        <v>1239</v>
      </c>
      <c r="D118" s="1704"/>
      <c r="E118" s="1704"/>
      <c r="F118" s="1704"/>
      <c r="G118" s="1705"/>
      <c r="H118" s="1706"/>
      <c r="I118" s="1706"/>
      <c r="J118" s="387" t="s">
        <v>18</v>
      </c>
      <c r="K118" s="1705"/>
      <c r="L118" s="1706"/>
      <c r="M118" s="1706"/>
      <c r="N118" s="387" t="s">
        <v>18</v>
      </c>
      <c r="O118" s="1705"/>
      <c r="P118" s="1706"/>
      <c r="Q118" s="1706"/>
      <c r="R118" s="387" t="s">
        <v>18</v>
      </c>
      <c r="S118" s="1705"/>
      <c r="T118" s="1706"/>
      <c r="U118" s="1706"/>
      <c r="V118" s="388" t="s">
        <v>18</v>
      </c>
      <c r="W118" s="1705"/>
      <c r="X118" s="1706"/>
      <c r="Y118" s="1706"/>
      <c r="Z118" s="389" t="s">
        <v>18</v>
      </c>
      <c r="AA118" s="1701" t="s">
        <v>1441</v>
      </c>
      <c r="AB118" s="1702"/>
      <c r="AC118" s="1702"/>
      <c r="AD118" s="1702"/>
      <c r="AE118" s="1703"/>
      <c r="AF118" s="604"/>
      <c r="AG118" s="262"/>
      <c r="AH118" s="354"/>
      <c r="AI118" s="354"/>
      <c r="AJ118" s="354"/>
      <c r="AK118" s="355"/>
      <c r="AL118" s="354"/>
      <c r="AM118" s="354"/>
      <c r="AN118" s="354"/>
    </row>
    <row r="119" spans="1:40" s="2" customFormat="1" ht="19.5" customHeight="1">
      <c r="A119" s="629"/>
      <c r="B119" s="630"/>
      <c r="C119" s="1704" t="s">
        <v>1240</v>
      </c>
      <c r="D119" s="1704"/>
      <c r="E119" s="1704"/>
      <c r="F119" s="1704"/>
      <c r="G119" s="1705"/>
      <c r="H119" s="1706"/>
      <c r="I119" s="1706"/>
      <c r="J119" s="387" t="s">
        <v>18</v>
      </c>
      <c r="K119" s="1705"/>
      <c r="L119" s="1706"/>
      <c r="M119" s="1706"/>
      <c r="N119" s="387" t="s">
        <v>18</v>
      </c>
      <c r="O119" s="1705"/>
      <c r="P119" s="1706"/>
      <c r="Q119" s="1706"/>
      <c r="R119" s="387" t="s">
        <v>18</v>
      </c>
      <c r="S119" s="1705"/>
      <c r="T119" s="1706"/>
      <c r="U119" s="1706"/>
      <c r="V119" s="388" t="s">
        <v>18</v>
      </c>
      <c r="W119" s="1705"/>
      <c r="X119" s="1706"/>
      <c r="Y119" s="1706"/>
      <c r="Z119" s="389" t="s">
        <v>18</v>
      </c>
      <c r="AA119" s="1701"/>
      <c r="AB119" s="1702"/>
      <c r="AC119" s="1702"/>
      <c r="AD119" s="1702"/>
      <c r="AE119" s="1703"/>
      <c r="AF119" s="925" t="str">
        <f>IF(OR(AND(G115&lt;10000,G115&lt;&gt;""),AND(K115&lt;10000,K115&lt;&gt;""),AND(O115&lt;10000,O115&lt;&gt;""),AND(S115&lt;10000,S115&lt;&gt;""),AND(W115&lt;10000,W115&lt;&gt;"")),
"←入学金が1万円未満となっていますが正しいでしょうか。正しい場合はそのままで結構です。",
IF(MAX(G115,K115,O115,S115,W115)&gt;=500000,
"←入学金が50万円以上となっていますが正しいでしょうか。正しい場合はそのままで結構です。",
IF(AA116&lt;&gt;"","",
IF(OR(AND(G114&lt;100000,G114&lt;&gt;""),AND(K114&lt;100000,K114&lt;&gt;""),AND(O114&lt;100000,O114&lt;&gt;""),AND(S114&lt;100000,S114&lt;&gt;""),AND(W114&lt;100000,W114&lt;&gt;""),
      AND(G122&lt;100000,G122&lt;&gt;""),AND(K122&lt;100000,K122&lt;&gt;""),AND(O122&lt;100000,O122&lt;&gt;""),AND(S122&lt;100000,S122&lt;&gt;""),AND(W122&lt;100000,W122&lt;&gt;""),
      AND(G125&lt;100000,G125&lt;&gt;""),AND(K125&lt;100000,K125&lt;&gt;""),AND(O125&lt;100000,O125&lt;&gt;""),AND(S125&lt;100000,S125&lt;&gt;""),AND(W125&lt;100000,W125&lt;&gt;""),
      AND(G128&lt;100000,G128&lt;&gt;""),AND(K128&lt;100000,K128&lt;&gt;""),AND(O128&lt;100000,O128&lt;&gt;""),AND(S128&lt;100000,S128&lt;&gt;""),AND(W128&lt;100000,W128&lt;&gt;"")
   ),
"←授業料が10万円未満となっていますが正しいでしょうか。正しい場合はそのままで結構です。",
IF(MAX(G114,K114,O114,S114,W114,
       G122,K122,O122,S122,W122,
       G125,K125,O125,S125,W125,
       G128,K128,O128,S128,W128
       )&gt;=2000000,
"←授業料が200万円以上となっていますが正しいでしょうか。正しい場合はそのままで結構です。",
"")))))</f>
        <v/>
      </c>
      <c r="AG119" s="262"/>
      <c r="AH119" s="354"/>
      <c r="AI119" s="354"/>
      <c r="AJ119" s="354"/>
      <c r="AK119" s="355"/>
      <c r="AL119" s="354"/>
      <c r="AM119" s="354"/>
      <c r="AN119" s="354"/>
    </row>
    <row r="120" spans="1:40" s="2" customFormat="1" ht="19.5" customHeight="1" thickBot="1">
      <c r="A120" s="629"/>
      <c r="B120" s="630"/>
      <c r="C120" s="1698" t="s">
        <v>1324</v>
      </c>
      <c r="D120" s="1698"/>
      <c r="E120" s="1698"/>
      <c r="F120" s="1698"/>
      <c r="G120" s="1695"/>
      <c r="H120" s="1696"/>
      <c r="I120" s="1696"/>
      <c r="J120" s="392" t="s">
        <v>18</v>
      </c>
      <c r="K120" s="1695"/>
      <c r="L120" s="1696"/>
      <c r="M120" s="1696"/>
      <c r="N120" s="392" t="s">
        <v>18</v>
      </c>
      <c r="O120" s="1695"/>
      <c r="P120" s="1696"/>
      <c r="Q120" s="1696"/>
      <c r="R120" s="392" t="s">
        <v>18</v>
      </c>
      <c r="S120" s="1695"/>
      <c r="T120" s="1696"/>
      <c r="U120" s="1696"/>
      <c r="V120" s="393" t="s">
        <v>18</v>
      </c>
      <c r="W120" s="1695"/>
      <c r="X120" s="1696"/>
      <c r="Y120" s="1696"/>
      <c r="Z120" s="394" t="s">
        <v>18</v>
      </c>
      <c r="AA120" s="1701"/>
      <c r="AB120" s="1702"/>
      <c r="AC120" s="1702"/>
      <c r="AD120" s="1702"/>
      <c r="AE120" s="1703"/>
      <c r="AF120" s="1697"/>
      <c r="AG120" s="262"/>
      <c r="AH120" s="354"/>
      <c r="AI120" s="354"/>
      <c r="AJ120" s="354"/>
      <c r="AK120" s="355"/>
      <c r="AL120" s="354"/>
      <c r="AM120" s="354"/>
      <c r="AN120" s="354"/>
    </row>
    <row r="121" spans="1:40" s="2" customFormat="1" ht="19.5" customHeight="1" thickBot="1">
      <c r="A121" s="1719"/>
      <c r="B121" s="1720"/>
      <c r="C121" s="1699" t="s">
        <v>1325</v>
      </c>
      <c r="D121" s="1700"/>
      <c r="E121" s="1700"/>
      <c r="F121" s="1700"/>
      <c r="G121" s="1674">
        <f>SUM(G114,G115,G116,G117,G118,G119)</f>
        <v>0</v>
      </c>
      <c r="H121" s="1675"/>
      <c r="I121" s="1675"/>
      <c r="J121" s="395" t="s">
        <v>18</v>
      </c>
      <c r="K121" s="1674">
        <f>SUM(K114,K115,K116,K117,K118,K119)</f>
        <v>0</v>
      </c>
      <c r="L121" s="1675"/>
      <c r="M121" s="1675"/>
      <c r="N121" s="395" t="s">
        <v>18</v>
      </c>
      <c r="O121" s="1674">
        <f>SUM(O114,O115,O116,O117,O118,O119)</f>
        <v>0</v>
      </c>
      <c r="P121" s="1675"/>
      <c r="Q121" s="1675"/>
      <c r="R121" s="395" t="s">
        <v>18</v>
      </c>
      <c r="S121" s="1674">
        <f>SUM(S114,S115,S116,S117,S118,S119)</f>
        <v>0</v>
      </c>
      <c r="T121" s="1675"/>
      <c r="U121" s="1675"/>
      <c r="V121" s="396" t="s">
        <v>18</v>
      </c>
      <c r="W121" s="1674">
        <f>SUM(W114,W115,W116,W117,W118,W119)</f>
        <v>0</v>
      </c>
      <c r="X121" s="1675"/>
      <c r="Y121" s="1675"/>
      <c r="Z121" s="397" t="s">
        <v>18</v>
      </c>
      <c r="AA121" s="1701"/>
      <c r="AB121" s="1702"/>
      <c r="AC121" s="1702"/>
      <c r="AD121" s="1702"/>
      <c r="AE121" s="1703"/>
      <c r="AF121" s="1697"/>
      <c r="AG121" s="262"/>
      <c r="AH121" s="354"/>
      <c r="AI121" s="354"/>
      <c r="AJ121" s="354"/>
      <c r="AK121" s="355"/>
      <c r="AL121" s="354"/>
      <c r="AM121" s="354"/>
      <c r="AN121" s="354"/>
    </row>
    <row r="122" spans="1:40" s="2" customFormat="1" ht="19.5" customHeight="1">
      <c r="A122" s="636" t="s">
        <v>1241</v>
      </c>
      <c r="B122" s="637"/>
      <c r="C122" s="654" t="s">
        <v>1236</v>
      </c>
      <c r="D122" s="654"/>
      <c r="E122" s="654"/>
      <c r="F122" s="654"/>
      <c r="G122" s="1682"/>
      <c r="H122" s="1683"/>
      <c r="I122" s="1683"/>
      <c r="J122" s="398" t="s">
        <v>18</v>
      </c>
      <c r="K122" s="1682"/>
      <c r="L122" s="1683"/>
      <c r="M122" s="1683"/>
      <c r="N122" s="398" t="s">
        <v>18</v>
      </c>
      <c r="O122" s="1682"/>
      <c r="P122" s="1683"/>
      <c r="Q122" s="1683"/>
      <c r="R122" s="398" t="s">
        <v>18</v>
      </c>
      <c r="S122" s="1682"/>
      <c r="T122" s="1683"/>
      <c r="U122" s="1683"/>
      <c r="V122" s="399" t="s">
        <v>18</v>
      </c>
      <c r="W122" s="1682"/>
      <c r="X122" s="1683"/>
      <c r="Y122" s="1683"/>
      <c r="Z122" s="400" t="s">
        <v>18</v>
      </c>
      <c r="AA122" s="1701"/>
      <c r="AB122" s="1702"/>
      <c r="AC122" s="1702"/>
      <c r="AD122" s="1702"/>
      <c r="AE122" s="1703"/>
      <c r="AF122" s="1697"/>
      <c r="AG122" s="262"/>
      <c r="AH122" s="354"/>
      <c r="AI122" s="354"/>
      <c r="AJ122" s="354"/>
      <c r="AK122" s="355"/>
      <c r="AL122" s="354"/>
      <c r="AM122" s="354"/>
      <c r="AN122" s="354"/>
    </row>
    <row r="123" spans="1:40" s="2" customFormat="1" ht="19.5" customHeight="1" thickBot="1">
      <c r="A123" s="638"/>
      <c r="B123" s="639"/>
      <c r="C123" s="647" t="s">
        <v>50</v>
      </c>
      <c r="D123" s="647"/>
      <c r="E123" s="647"/>
      <c r="F123" s="647"/>
      <c r="G123" s="1695"/>
      <c r="H123" s="1696"/>
      <c r="I123" s="1696"/>
      <c r="J123" s="392" t="s">
        <v>18</v>
      </c>
      <c r="K123" s="1695"/>
      <c r="L123" s="1696"/>
      <c r="M123" s="1696"/>
      <c r="N123" s="392" t="s">
        <v>18</v>
      </c>
      <c r="O123" s="1695"/>
      <c r="P123" s="1696"/>
      <c r="Q123" s="1696"/>
      <c r="R123" s="392" t="s">
        <v>18</v>
      </c>
      <c r="S123" s="1695"/>
      <c r="T123" s="1696"/>
      <c r="U123" s="1696"/>
      <c r="V123" s="393" t="s">
        <v>18</v>
      </c>
      <c r="W123" s="1695"/>
      <c r="X123" s="1696"/>
      <c r="Y123" s="1696"/>
      <c r="Z123" s="394" t="s">
        <v>18</v>
      </c>
      <c r="AA123" s="1686"/>
      <c r="AB123" s="1687"/>
      <c r="AC123" s="1687"/>
      <c r="AD123" s="1687"/>
      <c r="AE123" s="1688"/>
      <c r="AF123" s="1697"/>
      <c r="AG123" s="262"/>
      <c r="AH123" s="354"/>
      <c r="AI123" s="354"/>
      <c r="AJ123" s="354"/>
      <c r="AK123" s="355"/>
      <c r="AL123" s="354"/>
      <c r="AM123" s="354"/>
      <c r="AN123" s="354"/>
    </row>
    <row r="124" spans="1:40" s="2" customFormat="1" ht="19.5" customHeight="1" thickBot="1">
      <c r="A124" s="640"/>
      <c r="B124" s="641"/>
      <c r="C124" s="623" t="s">
        <v>1215</v>
      </c>
      <c r="D124" s="624"/>
      <c r="E124" s="624"/>
      <c r="F124" s="624"/>
      <c r="G124" s="1674">
        <f>SUM(G122:I123)</f>
        <v>0</v>
      </c>
      <c r="H124" s="1675"/>
      <c r="I124" s="1675"/>
      <c r="J124" s="395" t="s">
        <v>18</v>
      </c>
      <c r="K124" s="1674">
        <f>SUM(K122:M123)</f>
        <v>0</v>
      </c>
      <c r="L124" s="1675"/>
      <c r="M124" s="1675"/>
      <c r="N124" s="395" t="s">
        <v>18</v>
      </c>
      <c r="O124" s="1674">
        <f>SUM(O122:Q123)</f>
        <v>0</v>
      </c>
      <c r="P124" s="1675"/>
      <c r="Q124" s="1675"/>
      <c r="R124" s="395" t="s">
        <v>18</v>
      </c>
      <c r="S124" s="1674">
        <f>SUM(S122:U123)</f>
        <v>0</v>
      </c>
      <c r="T124" s="1675"/>
      <c r="U124" s="1675"/>
      <c r="V124" s="396" t="s">
        <v>18</v>
      </c>
      <c r="W124" s="1674">
        <f>SUM(W122:Y123)</f>
        <v>0</v>
      </c>
      <c r="X124" s="1675"/>
      <c r="Y124" s="1675"/>
      <c r="Z124" s="397" t="s">
        <v>18</v>
      </c>
      <c r="AA124" s="1686"/>
      <c r="AB124" s="1687"/>
      <c r="AC124" s="1687"/>
      <c r="AD124" s="1687"/>
      <c r="AE124" s="1688"/>
      <c r="AF124" s="1697"/>
      <c r="AG124" s="262"/>
      <c r="AH124" s="354"/>
      <c r="AI124" s="354"/>
      <c r="AJ124" s="354"/>
      <c r="AK124" s="355"/>
      <c r="AL124" s="354"/>
      <c r="AM124" s="354"/>
      <c r="AN124" s="354"/>
    </row>
    <row r="125" spans="1:40" s="2" customFormat="1" ht="19.5" customHeight="1">
      <c r="A125" s="1344" t="s">
        <v>1242</v>
      </c>
      <c r="B125" s="1345"/>
      <c r="C125" s="1692" t="s">
        <v>1236</v>
      </c>
      <c r="D125" s="1692"/>
      <c r="E125" s="1692"/>
      <c r="F125" s="1692"/>
      <c r="G125" s="1682"/>
      <c r="H125" s="1683"/>
      <c r="I125" s="1683"/>
      <c r="J125" s="398" t="s">
        <v>18</v>
      </c>
      <c r="K125" s="1682"/>
      <c r="L125" s="1683"/>
      <c r="M125" s="1683"/>
      <c r="N125" s="398" t="s">
        <v>18</v>
      </c>
      <c r="O125" s="1682"/>
      <c r="P125" s="1683"/>
      <c r="Q125" s="1683"/>
      <c r="R125" s="398" t="s">
        <v>18</v>
      </c>
      <c r="S125" s="1682"/>
      <c r="T125" s="1683"/>
      <c r="U125" s="1683"/>
      <c r="V125" s="399" t="s">
        <v>18</v>
      </c>
      <c r="W125" s="1693"/>
      <c r="X125" s="1694"/>
      <c r="Y125" s="1694"/>
      <c r="Z125" s="400" t="s">
        <v>18</v>
      </c>
      <c r="AA125" s="1686"/>
      <c r="AB125" s="1687"/>
      <c r="AC125" s="1687"/>
      <c r="AD125" s="1687"/>
      <c r="AE125" s="1688"/>
      <c r="AF125" s="1697"/>
      <c r="AG125" s="262"/>
      <c r="AH125" s="354"/>
      <c r="AI125" s="354"/>
      <c r="AJ125" s="354"/>
      <c r="AK125" s="355"/>
      <c r="AL125" s="354"/>
      <c r="AM125" s="354"/>
      <c r="AN125" s="354"/>
    </row>
    <row r="126" spans="1:40" s="2" customFormat="1" ht="19.5" customHeight="1" thickBot="1">
      <c r="A126" s="659"/>
      <c r="B126" s="660"/>
      <c r="C126" s="1341" t="s">
        <v>50</v>
      </c>
      <c r="D126" s="1341"/>
      <c r="E126" s="1341"/>
      <c r="F126" s="1341"/>
      <c r="G126" s="1684"/>
      <c r="H126" s="1685"/>
      <c r="I126" s="1685"/>
      <c r="J126" s="392" t="s">
        <v>18</v>
      </c>
      <c r="K126" s="1684"/>
      <c r="L126" s="1685"/>
      <c r="M126" s="1685"/>
      <c r="N126" s="392" t="s">
        <v>18</v>
      </c>
      <c r="O126" s="1684"/>
      <c r="P126" s="1685"/>
      <c r="Q126" s="1685"/>
      <c r="R126" s="392" t="s">
        <v>18</v>
      </c>
      <c r="S126" s="1684"/>
      <c r="T126" s="1685"/>
      <c r="U126" s="1685"/>
      <c r="V126" s="393" t="s">
        <v>18</v>
      </c>
      <c r="W126" s="1695"/>
      <c r="X126" s="1696"/>
      <c r="Y126" s="1696"/>
      <c r="Z126" s="394" t="s">
        <v>18</v>
      </c>
      <c r="AA126" s="1686"/>
      <c r="AB126" s="1687"/>
      <c r="AC126" s="1687"/>
      <c r="AD126" s="1687"/>
      <c r="AE126" s="1688"/>
      <c r="AF126" s="1697"/>
      <c r="AG126" s="262"/>
      <c r="AH126" s="354"/>
      <c r="AI126" s="354"/>
      <c r="AJ126" s="354"/>
      <c r="AK126" s="355"/>
      <c r="AL126" s="354"/>
      <c r="AM126" s="354"/>
      <c r="AN126" s="354"/>
    </row>
    <row r="127" spans="1:40" s="2" customFormat="1" ht="19.5" customHeight="1" thickBot="1">
      <c r="A127" s="1346"/>
      <c r="B127" s="1347"/>
      <c r="C127" s="1342" t="s">
        <v>1215</v>
      </c>
      <c r="D127" s="1343"/>
      <c r="E127" s="1343"/>
      <c r="F127" s="1343"/>
      <c r="G127" s="1674">
        <f>SUM(G125:I126)</f>
        <v>0</v>
      </c>
      <c r="H127" s="1675"/>
      <c r="I127" s="1675"/>
      <c r="J127" s="395" t="s">
        <v>18</v>
      </c>
      <c r="K127" s="1674">
        <f>SUM(K125:M126)</f>
        <v>0</v>
      </c>
      <c r="L127" s="1675"/>
      <c r="M127" s="1675"/>
      <c r="N127" s="395" t="s">
        <v>18</v>
      </c>
      <c r="O127" s="1674">
        <f>SUM(O125:Q126)</f>
        <v>0</v>
      </c>
      <c r="P127" s="1675"/>
      <c r="Q127" s="1675"/>
      <c r="R127" s="395" t="s">
        <v>18</v>
      </c>
      <c r="S127" s="1674">
        <f>SUM(S125:U126)</f>
        <v>0</v>
      </c>
      <c r="T127" s="1675"/>
      <c r="U127" s="1675"/>
      <c r="V127" s="396" t="s">
        <v>18</v>
      </c>
      <c r="W127" s="1674">
        <f>SUM(W125:Y126)</f>
        <v>0</v>
      </c>
      <c r="X127" s="1675"/>
      <c r="Y127" s="1675"/>
      <c r="Z127" s="397" t="s">
        <v>18</v>
      </c>
      <c r="AA127" s="1686"/>
      <c r="AB127" s="1687"/>
      <c r="AC127" s="1687"/>
      <c r="AD127" s="1687"/>
      <c r="AE127" s="1688"/>
      <c r="AF127" s="1697"/>
      <c r="AG127" s="262"/>
      <c r="AH127" s="354"/>
      <c r="AI127" s="354"/>
      <c r="AJ127" s="354"/>
      <c r="AK127" s="355"/>
      <c r="AL127" s="354"/>
      <c r="AM127" s="354"/>
      <c r="AN127" s="354"/>
    </row>
    <row r="128" spans="1:40" s="2" customFormat="1" ht="19.5" customHeight="1">
      <c r="A128" s="1349" t="s">
        <v>1243</v>
      </c>
      <c r="B128" s="1350"/>
      <c r="C128" s="1376" t="s">
        <v>1236</v>
      </c>
      <c r="D128" s="1376"/>
      <c r="E128" s="1376"/>
      <c r="F128" s="1376"/>
      <c r="G128" s="1682"/>
      <c r="H128" s="1683"/>
      <c r="I128" s="1683"/>
      <c r="J128" s="398" t="s">
        <v>18</v>
      </c>
      <c r="K128" s="1682"/>
      <c r="L128" s="1683"/>
      <c r="M128" s="1683"/>
      <c r="N128" s="398" t="s">
        <v>18</v>
      </c>
      <c r="O128" s="1682"/>
      <c r="P128" s="1683"/>
      <c r="Q128" s="1683"/>
      <c r="R128" s="398" t="s">
        <v>18</v>
      </c>
      <c r="S128" s="1682"/>
      <c r="T128" s="1683"/>
      <c r="U128" s="1683"/>
      <c r="V128" s="399" t="s">
        <v>18</v>
      </c>
      <c r="W128" s="1682"/>
      <c r="X128" s="1683"/>
      <c r="Y128" s="1683"/>
      <c r="Z128" s="400" t="s">
        <v>18</v>
      </c>
      <c r="AA128" s="1686"/>
      <c r="AB128" s="1687"/>
      <c r="AC128" s="1687"/>
      <c r="AD128" s="1687"/>
      <c r="AE128" s="1688"/>
      <c r="AF128" s="604"/>
      <c r="AG128" s="262"/>
      <c r="AH128" s="354"/>
      <c r="AI128" s="354"/>
      <c r="AJ128" s="354"/>
      <c r="AK128" s="355"/>
      <c r="AL128" s="354"/>
      <c r="AM128" s="354"/>
      <c r="AN128" s="354"/>
    </row>
    <row r="129" spans="1:63" s="2" customFormat="1" ht="19.5" customHeight="1" thickBot="1">
      <c r="A129" s="1351"/>
      <c r="B129" s="1352"/>
      <c r="C129" s="1379" t="s">
        <v>50</v>
      </c>
      <c r="D129" s="1379"/>
      <c r="E129" s="1379"/>
      <c r="F129" s="1379"/>
      <c r="G129" s="1684"/>
      <c r="H129" s="1685"/>
      <c r="I129" s="1685"/>
      <c r="J129" s="392" t="s">
        <v>18</v>
      </c>
      <c r="K129" s="1684"/>
      <c r="L129" s="1685"/>
      <c r="M129" s="1685"/>
      <c r="N129" s="392" t="s">
        <v>18</v>
      </c>
      <c r="O129" s="1684"/>
      <c r="P129" s="1685"/>
      <c r="Q129" s="1685"/>
      <c r="R129" s="392" t="s">
        <v>18</v>
      </c>
      <c r="S129" s="1684"/>
      <c r="T129" s="1685"/>
      <c r="U129" s="1685"/>
      <c r="V129" s="393" t="s">
        <v>18</v>
      </c>
      <c r="W129" s="1684"/>
      <c r="X129" s="1685"/>
      <c r="Y129" s="1685"/>
      <c r="Z129" s="394" t="s">
        <v>18</v>
      </c>
      <c r="AA129" s="1686"/>
      <c r="AB129" s="1687"/>
      <c r="AC129" s="1687"/>
      <c r="AD129" s="1687"/>
      <c r="AE129" s="1688"/>
      <c r="AF129" s="604"/>
      <c r="AG129" s="262"/>
      <c r="AH129" s="354"/>
      <c r="AI129" s="354"/>
      <c r="AJ129" s="354"/>
      <c r="AK129" s="355"/>
      <c r="AL129" s="354"/>
      <c r="AM129" s="354"/>
      <c r="AN129" s="354"/>
    </row>
    <row r="130" spans="1:63" s="2" customFormat="1" ht="19.5" customHeight="1" thickBot="1">
      <c r="A130" s="1353"/>
      <c r="B130" s="1354"/>
      <c r="C130" s="1377" t="s">
        <v>1215</v>
      </c>
      <c r="D130" s="1378"/>
      <c r="E130" s="1378"/>
      <c r="F130" s="1378"/>
      <c r="G130" s="1674">
        <f>SUM(G128:I129)</f>
        <v>0</v>
      </c>
      <c r="H130" s="1675"/>
      <c r="I130" s="1675"/>
      <c r="J130" s="395" t="s">
        <v>18</v>
      </c>
      <c r="K130" s="1674">
        <f>SUM(K128:M129)</f>
        <v>0</v>
      </c>
      <c r="L130" s="1675"/>
      <c r="M130" s="1675"/>
      <c r="N130" s="395" t="s">
        <v>18</v>
      </c>
      <c r="O130" s="1674">
        <f>SUM(O128:Q129)</f>
        <v>0</v>
      </c>
      <c r="P130" s="1675"/>
      <c r="Q130" s="1675"/>
      <c r="R130" s="395" t="s">
        <v>18</v>
      </c>
      <c r="S130" s="1674">
        <f>SUM(S128:U129)</f>
        <v>0</v>
      </c>
      <c r="T130" s="1675"/>
      <c r="U130" s="1675"/>
      <c r="V130" s="396" t="s">
        <v>18</v>
      </c>
      <c r="W130" s="1674">
        <f>SUM(W128:Y129)</f>
        <v>0</v>
      </c>
      <c r="X130" s="1675"/>
      <c r="Y130" s="1675"/>
      <c r="Z130" s="397" t="s">
        <v>18</v>
      </c>
      <c r="AA130" s="1689"/>
      <c r="AB130" s="1690"/>
      <c r="AC130" s="1690"/>
      <c r="AD130" s="1690"/>
      <c r="AE130" s="1691"/>
      <c r="AF130" s="604" t="str">
        <f>IF(SUM(G114:I119, K114:M119, O114:Q119, S114:U119, W114:Y119)&lt;&gt;SUM(G121:Y121),"←１年次納付金（縦）計が、明細の合計と一致しません。",
IF(SUM(G122:I123, K122:M123, O122:Q123, S122:U123, W122:Y123)&lt;&gt;SUM(G124:Y124),"←2年次納付金（縦）計が、明細の合計と一致しません。",
IF(SUM(G125:I126, K125:M126, O125:Q126, S125:U126, W125:Y126)&lt;&gt;SUM(G127:Y127),"←3年次納付金（縦）計が、明細の合計と一致しません。",
IF(SUM(G128:I129, K128:M129, O128:Q129, S128:U129, W128:Y129)&lt;&gt;SUM(G130:Y130),"←4年次納付金（縦）計が、明細の合計と一致しません。", ""))))</f>
        <v/>
      </c>
      <c r="AG130" s="262"/>
      <c r="AH130" s="354"/>
      <c r="AI130" s="354"/>
      <c r="AJ130" s="354"/>
      <c r="AK130" s="355"/>
      <c r="AL130" s="354"/>
      <c r="AM130" s="354"/>
      <c r="AN130" s="354"/>
    </row>
    <row r="131" spans="1:63" s="2" customFormat="1" ht="12" customHeight="1">
      <c r="A131" s="1575" t="s">
        <v>1252</v>
      </c>
      <c r="B131" s="1575"/>
      <c r="C131" s="1676" t="s">
        <v>1442</v>
      </c>
      <c r="D131" s="1676"/>
      <c r="E131" s="1676"/>
      <c r="F131" s="1676"/>
      <c r="G131" s="1676"/>
      <c r="H131" s="1676"/>
      <c r="I131" s="1676"/>
      <c r="J131" s="1676"/>
      <c r="K131" s="1676"/>
      <c r="L131" s="1676"/>
      <c r="M131" s="1676"/>
      <c r="N131" s="1676"/>
      <c r="O131" s="1676"/>
      <c r="P131" s="1676"/>
      <c r="Q131" s="1676"/>
      <c r="R131" s="1676"/>
      <c r="S131" s="1676"/>
      <c r="T131" s="1676"/>
      <c r="U131" s="1676"/>
      <c r="V131" s="1676"/>
      <c r="W131" s="1676"/>
      <c r="X131" s="1676"/>
      <c r="Y131" s="1676"/>
      <c r="Z131" s="1676"/>
      <c r="AA131" s="1676"/>
      <c r="AB131" s="1676"/>
      <c r="AC131" s="1676"/>
      <c r="AD131" s="1676"/>
      <c r="AE131" s="1676"/>
      <c r="AF131" s="604"/>
      <c r="AG131" s="401"/>
      <c r="AH131" s="354"/>
      <c r="AI131" s="354"/>
      <c r="AJ131" s="354"/>
      <c r="AK131" s="355"/>
      <c r="AL131" s="354"/>
      <c r="AM131" s="354"/>
      <c r="AN131" s="354"/>
    </row>
    <row r="132" spans="1:63" s="2" customFormat="1" ht="5.0999999999999996" customHeight="1">
      <c r="A132" s="402"/>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604"/>
      <c r="AG132" s="262"/>
      <c r="AH132" s="354"/>
      <c r="AI132" s="354"/>
      <c r="AJ132" s="354"/>
      <c r="AK132" s="355"/>
      <c r="AL132" s="354"/>
      <c r="AM132" s="354"/>
      <c r="AN132" s="354"/>
    </row>
    <row r="133" spans="1:63" s="2" customFormat="1" ht="5.0999999999999996" customHeight="1">
      <c r="A133" s="402"/>
      <c r="B133" s="402"/>
      <c r="C133" s="402"/>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2"/>
      <c r="AD133" s="402"/>
      <c r="AE133" s="402"/>
      <c r="AF133" s="604"/>
      <c r="AG133" s="262"/>
      <c r="AH133" s="354"/>
      <c r="AI133" s="354"/>
      <c r="AJ133" s="354"/>
      <c r="AK133" s="355"/>
      <c r="AL133" s="354"/>
      <c r="AM133" s="354"/>
      <c r="AN133" s="354"/>
    </row>
    <row r="134" spans="1:63" s="2" customFormat="1" ht="5.0999999999999996" customHeigh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604"/>
      <c r="AG134" s="262"/>
      <c r="AH134" s="354"/>
      <c r="AI134" s="354"/>
      <c r="AJ134" s="354"/>
      <c r="AK134" s="355"/>
      <c r="AL134" s="354"/>
      <c r="AM134" s="354"/>
      <c r="AN134" s="354"/>
    </row>
    <row r="135" spans="1:63" s="39" customFormat="1" ht="14.25" customHeight="1">
      <c r="A135" s="403" t="s">
        <v>1443</v>
      </c>
      <c r="B135" s="404"/>
      <c r="C135" s="404"/>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244"/>
      <c r="AB135" s="244"/>
      <c r="AC135" s="244"/>
      <c r="AD135" s="244"/>
      <c r="AE135" s="325"/>
      <c r="AF135" s="239"/>
      <c r="AG135" s="405"/>
      <c r="AH135" s="406"/>
      <c r="AI135" s="406"/>
      <c r="AJ135" s="406"/>
      <c r="AK135" s="407"/>
      <c r="AL135" s="406"/>
      <c r="AM135" s="406"/>
      <c r="AN135" s="406"/>
    </row>
    <row r="136" spans="1:63" s="39" customFormat="1" ht="20.100000000000001" customHeight="1">
      <c r="A136" s="1677" t="s">
        <v>373</v>
      </c>
      <c r="B136" s="1678"/>
      <c r="C136" s="1678"/>
      <c r="D136" s="1678"/>
      <c r="E136" s="1678"/>
      <c r="F136" s="1678"/>
      <c r="G136" s="1678"/>
      <c r="H136" s="1679"/>
      <c r="I136" s="1677" t="s">
        <v>374</v>
      </c>
      <c r="J136" s="1678"/>
      <c r="K136" s="1678"/>
      <c r="L136" s="1678"/>
      <c r="M136" s="1680"/>
      <c r="N136" s="1680"/>
      <c r="O136" s="1680"/>
      <c r="P136" s="1681"/>
      <c r="Q136" s="408"/>
      <c r="R136" s="408"/>
      <c r="S136" s="408"/>
      <c r="T136" s="408"/>
      <c r="U136" s="408"/>
      <c r="V136" s="408"/>
      <c r="W136" s="408"/>
      <c r="X136" s="408"/>
      <c r="Y136" s="408"/>
      <c r="Z136" s="408"/>
      <c r="AA136" s="408"/>
      <c r="AB136" s="408"/>
      <c r="AC136" s="408"/>
      <c r="AD136" s="408"/>
      <c r="AE136" s="408"/>
      <c r="AF136" s="239"/>
      <c r="AG136" s="405"/>
      <c r="AH136" s="406"/>
      <c r="AI136" s="406"/>
      <c r="AJ136" s="406"/>
      <c r="AK136" s="407"/>
      <c r="AL136" s="406"/>
      <c r="AM136" s="406"/>
      <c r="AN136" s="406"/>
    </row>
    <row r="137" spans="1:63" s="39" customFormat="1" ht="20.100000000000001" customHeight="1" thickBot="1">
      <c r="A137" s="1669" t="s">
        <v>1206</v>
      </c>
      <c r="B137" s="1670"/>
      <c r="C137" s="1670"/>
      <c r="D137" s="1671"/>
      <c r="E137" s="1669" t="s">
        <v>1207</v>
      </c>
      <c r="F137" s="1672"/>
      <c r="G137" s="1672"/>
      <c r="H137" s="1673"/>
      <c r="I137" s="1669" t="s">
        <v>1208</v>
      </c>
      <c r="J137" s="1670"/>
      <c r="K137" s="1670"/>
      <c r="L137" s="1670"/>
      <c r="M137" s="1669" t="s">
        <v>1209</v>
      </c>
      <c r="N137" s="1672"/>
      <c r="O137" s="1672"/>
      <c r="P137" s="1673"/>
      <c r="Q137" s="408"/>
      <c r="R137" s="408"/>
      <c r="S137" s="408"/>
      <c r="T137" s="408"/>
      <c r="U137" s="408"/>
      <c r="V137" s="408"/>
      <c r="W137" s="408"/>
      <c r="X137" s="408"/>
      <c r="Y137" s="408"/>
      <c r="Z137" s="408"/>
      <c r="AA137" s="408"/>
      <c r="AB137" s="408"/>
      <c r="AC137" s="408"/>
      <c r="AD137" s="408"/>
      <c r="AE137" s="408"/>
      <c r="AF137" s="608"/>
      <c r="AG137" s="405"/>
      <c r="AH137" s="406"/>
      <c r="AI137" s="406"/>
      <c r="AJ137" s="406"/>
      <c r="AK137" s="407"/>
      <c r="AL137" s="406"/>
      <c r="AM137" s="406"/>
      <c r="AN137" s="406"/>
    </row>
    <row r="138" spans="1:63" s="38" customFormat="1" ht="30" customHeight="1" thickBot="1">
      <c r="A138" s="1369"/>
      <c r="B138" s="1228"/>
      <c r="C138" s="1228"/>
      <c r="D138" s="409" t="s">
        <v>375</v>
      </c>
      <c r="E138" s="1227"/>
      <c r="F138" s="1228"/>
      <c r="G138" s="1228"/>
      <c r="H138" s="409" t="s">
        <v>375</v>
      </c>
      <c r="I138" s="1369"/>
      <c r="J138" s="1228"/>
      <c r="K138" s="1228"/>
      <c r="L138" s="409" t="s">
        <v>375</v>
      </c>
      <c r="M138" s="1227"/>
      <c r="N138" s="1228"/>
      <c r="O138" s="1228"/>
      <c r="P138" s="410" t="s">
        <v>375</v>
      </c>
      <c r="Q138" s="408"/>
      <c r="R138" s="408"/>
      <c r="S138" s="408"/>
      <c r="T138" s="408"/>
      <c r="U138" s="408"/>
      <c r="V138" s="408"/>
      <c r="W138" s="408"/>
      <c r="X138" s="408"/>
      <c r="Y138" s="408"/>
      <c r="Z138" s="408"/>
      <c r="AA138" s="408"/>
      <c r="AB138" s="408"/>
      <c r="AC138" s="408"/>
      <c r="AD138" s="408"/>
      <c r="AE138" s="408"/>
      <c r="AF138" s="605" t="str">
        <f>IF(OR($AG$48="本票ⅡⅢ回答必要",$AG$48="本票ⅠⅡⅢ回答必要",$AG$48="本票ⅡⅢⅥ回答必要",$AG$48="本票ⅠⅡⅢⅥ回答必要"),"",
IF(OR(A138="　",A138=""),"←通信制・本務教員数を記入してください。",
IF(OR(E138="　",E138=""),"←通信制・非常勤教員数を記入してください。",
IF(OR(I138="　",I138=""),"←通信制・本務職員数を記入してください。",
IF(OR(M138="　",M138=""),"←通信制・兼務職員数を記入してください。","")))))</f>
        <v>←通信制・本務教員数を記入してください。</v>
      </c>
      <c r="AG138" s="405"/>
      <c r="AH138" s="406"/>
      <c r="AI138" s="406"/>
      <c r="AJ138" s="406"/>
      <c r="AK138" s="407"/>
      <c r="AL138" s="406"/>
      <c r="AM138" s="406"/>
      <c r="AN138" s="406"/>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row>
    <row r="139" spans="1:63" s="38" customFormat="1" ht="5.0999999999999996" customHeight="1">
      <c r="A139" s="300"/>
      <c r="B139" s="300"/>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609"/>
      <c r="AG139" s="405"/>
      <c r="AH139" s="406"/>
      <c r="AI139" s="406"/>
      <c r="AJ139" s="406"/>
      <c r="AK139" s="407"/>
      <c r="AL139" s="406"/>
      <c r="AM139" s="406"/>
      <c r="AN139" s="406"/>
      <c r="AO139" s="39"/>
      <c r="AP139" s="39"/>
      <c r="AQ139" s="39"/>
      <c r="AR139" s="39"/>
      <c r="AS139" s="39"/>
      <c r="AT139" s="39"/>
      <c r="AU139" s="39"/>
      <c r="AV139" s="39"/>
      <c r="AW139" s="39"/>
      <c r="AX139" s="39"/>
      <c r="AY139" s="39"/>
      <c r="AZ139" s="39"/>
      <c r="BA139" s="39"/>
      <c r="BB139" s="39"/>
      <c r="BC139" s="39"/>
      <c r="BD139" s="39"/>
      <c r="BE139" s="39"/>
      <c r="BF139" s="39"/>
      <c r="BG139" s="39"/>
      <c r="BH139" s="39"/>
      <c r="BI139" s="39"/>
      <c r="BJ139" s="39"/>
      <c r="BK139" s="39"/>
    </row>
    <row r="140" spans="1:63" s="38" customFormat="1" ht="5.0999999999999996" customHeight="1">
      <c r="A140" s="411"/>
      <c r="B140" s="412"/>
      <c r="C140" s="408"/>
      <c r="D140" s="408"/>
      <c r="E140" s="408"/>
      <c r="F140" s="408"/>
      <c r="G140" s="408"/>
      <c r="H140" s="408"/>
      <c r="I140" s="408"/>
      <c r="J140" s="408"/>
      <c r="K140" s="408"/>
      <c r="L140" s="408"/>
      <c r="M140" s="408"/>
      <c r="N140" s="408"/>
      <c r="O140" s="408"/>
      <c r="P140" s="408"/>
      <c r="Q140" s="408"/>
      <c r="R140" s="408"/>
      <c r="S140" s="408"/>
      <c r="T140" s="408"/>
      <c r="U140" s="408"/>
      <c r="V140" s="408"/>
      <c r="W140" s="408"/>
      <c r="X140" s="408"/>
      <c r="Y140" s="408"/>
      <c r="Z140" s="408"/>
      <c r="AA140" s="300"/>
      <c r="AB140" s="408"/>
      <c r="AC140" s="408"/>
      <c r="AD140" s="408"/>
      <c r="AE140" s="408"/>
      <c r="AF140" s="609"/>
      <c r="AG140" s="405"/>
      <c r="AH140" s="406"/>
      <c r="AI140" s="406"/>
      <c r="AJ140" s="406"/>
      <c r="AK140" s="407"/>
      <c r="AL140" s="406"/>
      <c r="AM140" s="406"/>
      <c r="AN140" s="406"/>
      <c r="AO140" s="39"/>
      <c r="AP140" s="39"/>
      <c r="AQ140" s="39"/>
      <c r="AR140" s="39"/>
      <c r="AS140" s="39"/>
      <c r="AT140" s="39"/>
      <c r="AU140" s="39"/>
      <c r="AV140" s="39"/>
      <c r="AW140" s="39"/>
      <c r="AX140" s="39"/>
      <c r="AY140" s="39"/>
      <c r="AZ140" s="39"/>
      <c r="BA140" s="39"/>
      <c r="BB140" s="39"/>
      <c r="BC140" s="39"/>
      <c r="BD140" s="39"/>
      <c r="BE140" s="39"/>
      <c r="BF140" s="39"/>
      <c r="BG140" s="39"/>
      <c r="BH140" s="39"/>
      <c r="BI140" s="39"/>
      <c r="BJ140" s="39"/>
      <c r="BK140" s="39"/>
    </row>
    <row r="141" spans="1:63" s="2" customFormat="1" ht="5.0999999999999996" customHeight="1">
      <c r="A141" s="413"/>
      <c r="B141" s="414"/>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300"/>
      <c r="AB141" s="415"/>
      <c r="AC141" s="415"/>
      <c r="AD141" s="415"/>
      <c r="AE141" s="415"/>
      <c r="AF141" s="605"/>
      <c r="AG141" s="262"/>
      <c r="AH141" s="354"/>
      <c r="AI141" s="354"/>
      <c r="AJ141" s="354"/>
      <c r="AK141" s="355"/>
      <c r="AL141" s="354"/>
      <c r="AM141" s="354"/>
      <c r="AN141" s="354"/>
    </row>
    <row r="142" spans="1:63" s="2" customFormat="1" ht="16.5" customHeight="1" thickBot="1">
      <c r="A142" s="416" t="s">
        <v>1444</v>
      </c>
      <c r="B142" s="321"/>
      <c r="C142" s="321"/>
      <c r="D142" s="321"/>
      <c r="E142" s="321"/>
      <c r="F142" s="321"/>
      <c r="G142" s="321"/>
      <c r="H142" s="321"/>
      <c r="I142" s="321"/>
      <c r="J142" s="321"/>
      <c r="K142" s="321"/>
      <c r="L142" s="321"/>
      <c r="M142" s="321"/>
      <c r="N142" s="321"/>
      <c r="O142" s="321"/>
      <c r="P142" s="321"/>
      <c r="Q142" s="321"/>
      <c r="R142" s="321"/>
      <c r="S142" s="321"/>
      <c r="T142" s="352"/>
      <c r="U142" s="352"/>
      <c r="V142" s="244"/>
      <c r="W142" s="352"/>
      <c r="X142" s="352"/>
      <c r="Y142" s="352"/>
      <c r="Z142" s="352"/>
      <c r="AA142" s="300"/>
      <c r="AB142" s="327"/>
      <c r="AC142" s="327"/>
      <c r="AD142" s="327"/>
      <c r="AE142" s="327"/>
      <c r="AF142" s="605"/>
      <c r="AG142" s="262"/>
      <c r="AH142" s="354"/>
      <c r="AI142" s="354"/>
      <c r="AJ142" s="354"/>
      <c r="AK142" s="355"/>
      <c r="AL142" s="354"/>
      <c r="AM142" s="354"/>
      <c r="AN142" s="354"/>
    </row>
    <row r="143" spans="1:63" s="2" customFormat="1" ht="7.5" customHeight="1">
      <c r="A143" s="1651" t="s">
        <v>1361</v>
      </c>
      <c r="B143" s="1652"/>
      <c r="C143" s="1652"/>
      <c r="D143" s="1652"/>
      <c r="E143" s="1652"/>
      <c r="F143" s="1652"/>
      <c r="G143" s="1652" t="s">
        <v>1210</v>
      </c>
      <c r="H143" s="1652"/>
      <c r="I143" s="1652"/>
      <c r="J143" s="1652"/>
      <c r="K143" s="1652"/>
      <c r="L143" s="1652"/>
      <c r="M143" s="1652"/>
      <c r="N143" s="1652"/>
      <c r="O143" s="1652" t="s">
        <v>1211</v>
      </c>
      <c r="P143" s="1652"/>
      <c r="Q143" s="1652"/>
      <c r="R143" s="1652"/>
      <c r="S143" s="1652"/>
      <c r="T143" s="1652"/>
      <c r="U143" s="1652"/>
      <c r="V143" s="1657"/>
      <c r="W143" s="1660" t="s">
        <v>1445</v>
      </c>
      <c r="X143" s="1661"/>
      <c r="Y143" s="1661"/>
      <c r="Z143" s="1661"/>
      <c r="AA143" s="323"/>
      <c r="AB143" s="287"/>
      <c r="AC143" s="287"/>
      <c r="AD143" s="287"/>
      <c r="AE143" s="287"/>
      <c r="AF143" s="1438" t="str">
        <f>IF(OR($AG$48="本票ⅡⅢ回答必要",$AG$48="本票ⅠⅡⅢ回答必要",$AG$48="本票ⅡⅢⅥ回答必要",$AG$48="本票ⅠⅡⅢⅥ回答必要"),"",
IF(G146="","←本務教員の本俸が未入力です。該当値がない場合には「0」を入力してください。",
IF(G147="","←本務教員の期末手当が未入力です。該当値がない場合には「0」を入力してください。",
IF(G148="","←本務教員のその他手当が未入力です。該当値がない場合には「0」を入力してください。",
IF(G149="","←本務教員の所定福利費が未入力です。該当値がない場合には「0」を入力してください。",
IF(G150="","←本務教員の退職金団体等負担金が未入力です。該当値がない場合には「0」を入力してください。",
""))))))</f>
        <v>←本務教員の本俸が未入力です。該当値がない場合には「0」を入力してください。</v>
      </c>
      <c r="AG143" s="262"/>
      <c r="AH143" s="354"/>
      <c r="AI143" s="354"/>
      <c r="AJ143" s="354"/>
      <c r="AK143" s="355"/>
      <c r="AL143" s="354"/>
      <c r="AM143" s="354"/>
      <c r="AN143" s="354"/>
    </row>
    <row r="144" spans="1:63" s="2" customFormat="1" ht="7.5" customHeight="1">
      <c r="A144" s="1653"/>
      <c r="B144" s="1654"/>
      <c r="C144" s="1654"/>
      <c r="D144" s="1654"/>
      <c r="E144" s="1654"/>
      <c r="F144" s="1654"/>
      <c r="G144" s="1654"/>
      <c r="H144" s="1654"/>
      <c r="I144" s="1654"/>
      <c r="J144" s="1654"/>
      <c r="K144" s="1654"/>
      <c r="L144" s="1654"/>
      <c r="M144" s="1654"/>
      <c r="N144" s="1654"/>
      <c r="O144" s="1654"/>
      <c r="P144" s="1654"/>
      <c r="Q144" s="1654"/>
      <c r="R144" s="1654"/>
      <c r="S144" s="1654"/>
      <c r="T144" s="1654"/>
      <c r="U144" s="1654"/>
      <c r="V144" s="1658"/>
      <c r="W144" s="1660"/>
      <c r="X144" s="1661"/>
      <c r="Y144" s="1661"/>
      <c r="Z144" s="1661"/>
      <c r="AA144" s="323"/>
      <c r="AB144" s="287"/>
      <c r="AC144" s="287"/>
      <c r="AD144" s="287"/>
      <c r="AE144" s="287"/>
      <c r="AF144" s="1438" t="str">
        <f>IF(G144="","←本務教員人件費支出に未入力セルがあります。該当値がない場合には「０」と記入してください。",
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f>
        <v>←本務教員人件費支出に未入力セルがあります。該当値がない場合には「０」と記入してください。</v>
      </c>
      <c r="AG144" s="262"/>
      <c r="AH144" s="354"/>
      <c r="AI144" s="354"/>
      <c r="AJ144" s="354"/>
      <c r="AK144" s="355"/>
      <c r="AL144" s="354"/>
      <c r="AM144" s="354"/>
      <c r="AN144" s="354"/>
    </row>
    <row r="145" spans="1:40" s="2" customFormat="1" ht="7.5" customHeight="1" thickBot="1">
      <c r="A145" s="1655"/>
      <c r="B145" s="1656"/>
      <c r="C145" s="1656"/>
      <c r="D145" s="1656"/>
      <c r="E145" s="1656"/>
      <c r="F145" s="1656"/>
      <c r="G145" s="1656"/>
      <c r="H145" s="1656"/>
      <c r="I145" s="1656"/>
      <c r="J145" s="1656"/>
      <c r="K145" s="1656"/>
      <c r="L145" s="1656"/>
      <c r="M145" s="1656"/>
      <c r="N145" s="1656"/>
      <c r="O145" s="1656"/>
      <c r="P145" s="1656"/>
      <c r="Q145" s="1656"/>
      <c r="R145" s="1656"/>
      <c r="S145" s="1656"/>
      <c r="T145" s="1656"/>
      <c r="U145" s="1656"/>
      <c r="V145" s="1659"/>
      <c r="W145" s="1660"/>
      <c r="X145" s="1661"/>
      <c r="Y145" s="1661"/>
      <c r="Z145" s="1661"/>
      <c r="AA145" s="323"/>
      <c r="AB145" s="287"/>
      <c r="AC145" s="287"/>
      <c r="AD145" s="287"/>
      <c r="AE145" s="287"/>
      <c r="AF145" s="1438" t="str">
        <f>IF(G145="","←本務教員人件費支出に未入力セルがあります。該当値がない場合には「０」と記入してください。",
IF(G146="","←本務教員人件費支出に未入力セルがあります。該当値がない場合には「０」と記入してください。",
IF(G147="","←本務教員人件費支出に未入力セルがあります。該当値がない場合には「０」と記入してください。",
IF(G148="","←本務教員人件費支出に未入力セルがあります。該当値がない場合には「０」と記入してください。",
IF(G149="","←本務教員人件費支出に未入力セルがあります。該当値がない場合には「０」と記入してください。",
"")))))</f>
        <v>←本務教員人件費支出に未入力セルがあります。該当値がない場合には「０」と記入してください。</v>
      </c>
      <c r="AG145" s="262"/>
      <c r="AH145" s="354"/>
      <c r="AI145" s="354"/>
      <c r="AJ145" s="354"/>
      <c r="AK145" s="355"/>
      <c r="AL145" s="354"/>
      <c r="AM145" s="354"/>
      <c r="AN145" s="354"/>
    </row>
    <row r="146" spans="1:40" s="2" customFormat="1" ht="20.100000000000001" customHeight="1">
      <c r="A146" s="1662" t="s">
        <v>1212</v>
      </c>
      <c r="B146" s="1663"/>
      <c r="C146" s="1663"/>
      <c r="D146" s="1663"/>
      <c r="E146" s="1663"/>
      <c r="F146" s="1663"/>
      <c r="G146" s="1664"/>
      <c r="H146" s="1664"/>
      <c r="I146" s="1664"/>
      <c r="J146" s="1664"/>
      <c r="K146" s="1664"/>
      <c r="L146" s="1665"/>
      <c r="M146" s="1666" t="s">
        <v>1213</v>
      </c>
      <c r="N146" s="1667"/>
      <c r="O146" s="1664"/>
      <c r="P146" s="1664"/>
      <c r="Q146" s="1664"/>
      <c r="R146" s="1664"/>
      <c r="S146" s="1664"/>
      <c r="T146" s="1665"/>
      <c r="U146" s="1666" t="s">
        <v>1213</v>
      </c>
      <c r="V146" s="1668"/>
      <c r="W146" s="287"/>
      <c r="X146" s="287"/>
      <c r="Y146" s="287"/>
      <c r="Z146" s="287"/>
      <c r="AA146" s="287"/>
      <c r="AB146" s="287"/>
      <c r="AC146" s="287"/>
      <c r="AD146" s="287"/>
      <c r="AE146" s="287"/>
      <c r="AF146" s="605" t="str">
        <f>IF(OR($AG$48="本票ⅡⅢ回答必要",$AG$48="本票ⅠⅡⅢ回答必要",$AG$48="本票ⅡⅢⅥ回答必要",$AG$48="本票ⅠⅡⅢⅥ回答必要"),"",
IF(O146="","←本務職員の本俸が未入力です。該当値がない場合には「0」を入力してください。",
IF(O147="","←本務職員の期末手当が未入力です。該当値がない場合には「0」を入力してください。",
IF(O148="","←本務職員のその他手当が未入力です。該当値がない場合には「0」を入力してください。",
IF(O149="","←本務職員の所定福利費が未入力です。該当値がない場合には「0」を入力してください。",
IF(O150="","←本務職員の退職金団体等負担金が未入力です。該当値がない場合には「0」を入力してください。",
""))))))</f>
        <v>←本務職員の本俸が未入力です。該当値がない場合には「0」を入力してください。</v>
      </c>
      <c r="AG146" s="262"/>
      <c r="AH146" s="354"/>
      <c r="AI146" s="354"/>
      <c r="AJ146" s="354"/>
      <c r="AK146" s="355"/>
      <c r="AL146" s="354"/>
      <c r="AM146" s="354"/>
      <c r="AN146" s="354"/>
    </row>
    <row r="147" spans="1:40" s="2" customFormat="1" ht="20.100000000000001" customHeight="1">
      <c r="A147" s="1637" t="s">
        <v>1214</v>
      </c>
      <c r="B147" s="1638"/>
      <c r="C147" s="1638"/>
      <c r="D147" s="1638"/>
      <c r="E147" s="1638"/>
      <c r="F147" s="1638"/>
      <c r="G147" s="1639"/>
      <c r="H147" s="1640"/>
      <c r="I147" s="1640"/>
      <c r="J147" s="1640"/>
      <c r="K147" s="1640"/>
      <c r="L147" s="1640"/>
      <c r="M147" s="1641" t="s">
        <v>1213</v>
      </c>
      <c r="N147" s="1642"/>
      <c r="O147" s="1639"/>
      <c r="P147" s="1640"/>
      <c r="Q147" s="1640"/>
      <c r="R147" s="1640"/>
      <c r="S147" s="1640"/>
      <c r="T147" s="1640"/>
      <c r="U147" s="1641" t="s">
        <v>1213</v>
      </c>
      <c r="V147" s="1643"/>
      <c r="W147" s="287"/>
      <c r="X147" s="287"/>
      <c r="Y147" s="287"/>
      <c r="Z147" s="287"/>
      <c r="AA147" s="287"/>
      <c r="AB147" s="287"/>
      <c r="AC147" s="287"/>
      <c r="AD147" s="287"/>
      <c r="AE147" s="287"/>
      <c r="AF147" s="601"/>
      <c r="AG147" s="262"/>
      <c r="AH147" s="354"/>
      <c r="AI147" s="354"/>
      <c r="AJ147" s="354"/>
      <c r="AK147" s="355"/>
      <c r="AL147" s="354"/>
      <c r="AM147" s="354"/>
      <c r="AN147" s="354"/>
    </row>
    <row r="148" spans="1:40" s="2" customFormat="1" ht="20.100000000000001" customHeight="1">
      <c r="A148" s="1637" t="s">
        <v>1244</v>
      </c>
      <c r="B148" s="1638"/>
      <c r="C148" s="1638"/>
      <c r="D148" s="1638"/>
      <c r="E148" s="1638"/>
      <c r="F148" s="1638"/>
      <c r="G148" s="1639"/>
      <c r="H148" s="1640"/>
      <c r="I148" s="1640"/>
      <c r="J148" s="1640"/>
      <c r="K148" s="1640"/>
      <c r="L148" s="1640"/>
      <c r="M148" s="1641" t="s">
        <v>1213</v>
      </c>
      <c r="N148" s="1642"/>
      <c r="O148" s="1639"/>
      <c r="P148" s="1640"/>
      <c r="Q148" s="1640"/>
      <c r="R148" s="1640"/>
      <c r="S148" s="1640"/>
      <c r="T148" s="1640"/>
      <c r="U148" s="1641" t="s">
        <v>1213</v>
      </c>
      <c r="V148" s="1643"/>
      <c r="W148" s="287"/>
      <c r="X148" s="287"/>
      <c r="Y148" s="287"/>
      <c r="Z148" s="287"/>
      <c r="AA148" s="287"/>
      <c r="AB148" s="287"/>
      <c r="AC148" s="287"/>
      <c r="AD148" s="287"/>
      <c r="AE148" s="287"/>
      <c r="AF148" s="601"/>
      <c r="AG148" s="262"/>
      <c r="AH148" s="354"/>
      <c r="AI148" s="354"/>
      <c r="AJ148" s="354"/>
      <c r="AK148" s="355"/>
      <c r="AL148" s="354"/>
      <c r="AM148" s="354"/>
      <c r="AN148" s="354"/>
    </row>
    <row r="149" spans="1:40" s="4" customFormat="1" ht="20.100000000000001" customHeight="1">
      <c r="A149" s="1637" t="s">
        <v>1245</v>
      </c>
      <c r="B149" s="1638"/>
      <c r="C149" s="1638"/>
      <c r="D149" s="1638"/>
      <c r="E149" s="1638"/>
      <c r="F149" s="1638"/>
      <c r="G149" s="1639"/>
      <c r="H149" s="1640"/>
      <c r="I149" s="1640"/>
      <c r="J149" s="1640"/>
      <c r="K149" s="1640"/>
      <c r="L149" s="1640"/>
      <c r="M149" s="1641" t="s">
        <v>1213</v>
      </c>
      <c r="N149" s="1642"/>
      <c r="O149" s="1639"/>
      <c r="P149" s="1640"/>
      <c r="Q149" s="1640"/>
      <c r="R149" s="1640"/>
      <c r="S149" s="1640"/>
      <c r="T149" s="1640"/>
      <c r="U149" s="1641" t="s">
        <v>1213</v>
      </c>
      <c r="V149" s="1643"/>
      <c r="W149" s="287"/>
      <c r="X149" s="287"/>
      <c r="Y149" s="287"/>
      <c r="Z149" s="287"/>
      <c r="AA149" s="287"/>
      <c r="AB149" s="287"/>
      <c r="AC149" s="287"/>
      <c r="AD149" s="287"/>
      <c r="AE149" s="287"/>
      <c r="AF149" s="604"/>
      <c r="AG149" s="262"/>
      <c r="AH149" s="312"/>
      <c r="AI149" s="312"/>
      <c r="AJ149" s="312"/>
      <c r="AK149" s="313"/>
      <c r="AL149" s="312"/>
      <c r="AM149" s="312"/>
      <c r="AN149" s="312"/>
    </row>
    <row r="150" spans="1:40" s="4" customFormat="1" ht="30" customHeight="1" thickBot="1">
      <c r="A150" s="1644" t="s">
        <v>1446</v>
      </c>
      <c r="B150" s="1645"/>
      <c r="C150" s="1645"/>
      <c r="D150" s="1645"/>
      <c r="E150" s="1645"/>
      <c r="F150" s="1645"/>
      <c r="G150" s="1646"/>
      <c r="H150" s="1647"/>
      <c r="I150" s="1647"/>
      <c r="J150" s="1647"/>
      <c r="K150" s="1647"/>
      <c r="L150" s="1647"/>
      <c r="M150" s="1648" t="s">
        <v>1213</v>
      </c>
      <c r="N150" s="1649"/>
      <c r="O150" s="1646"/>
      <c r="P150" s="1647"/>
      <c r="Q150" s="1647"/>
      <c r="R150" s="1647"/>
      <c r="S150" s="1647"/>
      <c r="T150" s="1647"/>
      <c r="U150" s="1648" t="s">
        <v>1213</v>
      </c>
      <c r="V150" s="1650"/>
      <c r="W150" s="287"/>
      <c r="X150" s="287"/>
      <c r="Y150" s="287"/>
      <c r="Z150" s="287"/>
      <c r="AA150" s="287"/>
      <c r="AB150" s="287"/>
      <c r="AC150" s="287"/>
      <c r="AD150" s="287"/>
      <c r="AE150" s="287"/>
      <c r="AF150" s="604"/>
      <c r="AG150" s="262"/>
      <c r="AH150" s="312"/>
      <c r="AI150" s="312"/>
      <c r="AJ150" s="312"/>
      <c r="AK150" s="313"/>
      <c r="AL150" s="312"/>
      <c r="AM150" s="312"/>
      <c r="AN150" s="312"/>
    </row>
    <row r="151" spans="1:40" s="4" customFormat="1" ht="20.100000000000001" customHeight="1" thickBot="1">
      <c r="A151" s="1628" t="s">
        <v>1215</v>
      </c>
      <c r="B151" s="1629"/>
      <c r="C151" s="1629"/>
      <c r="D151" s="1629"/>
      <c r="E151" s="1629"/>
      <c r="F151" s="1629"/>
      <c r="G151" s="1630">
        <f>SUM(G146:L150)</f>
        <v>0</v>
      </c>
      <c r="H151" s="1630"/>
      <c r="I151" s="1630"/>
      <c r="J151" s="1630"/>
      <c r="K151" s="1630"/>
      <c r="L151" s="1631"/>
      <c r="M151" s="1632" t="s">
        <v>1213</v>
      </c>
      <c r="N151" s="1633"/>
      <c r="O151" s="1630">
        <f>SUM(O146:T150)</f>
        <v>0</v>
      </c>
      <c r="P151" s="1630"/>
      <c r="Q151" s="1630"/>
      <c r="R151" s="1630"/>
      <c r="S151" s="1630"/>
      <c r="T151" s="1631"/>
      <c r="U151" s="1632" t="s">
        <v>1213</v>
      </c>
      <c r="V151" s="1634"/>
      <c r="W151" s="287"/>
      <c r="X151" s="287"/>
      <c r="Y151" s="287"/>
      <c r="Z151" s="287"/>
      <c r="AA151" s="287"/>
      <c r="AB151" s="287"/>
      <c r="AC151" s="287"/>
      <c r="AD151" s="287"/>
      <c r="AE151" s="287"/>
      <c r="AF151" s="604" t="str">
        <f>IF(OR($AG$48="本票ⅡⅢ回答必要",$AG$48="本票ⅠⅡⅢ回答必要",$AG$48="本票ⅡⅢⅥ回答必要",$AG$48="本票ⅠⅡⅢⅥ回答必要"),"",
IF(G151&lt;&gt;SUM(G146:L150),"←本務教員人件費支出計が、明細の合計と一致しません。",
IF(O151&lt;&gt;SUM(O146:T150),"←本務職員人件費支出計が、明細の合計と一致しません。","")))</f>
        <v/>
      </c>
      <c r="AG151" s="262"/>
      <c r="AH151" s="312"/>
      <c r="AI151" s="312"/>
      <c r="AJ151" s="312"/>
      <c r="AK151" s="313"/>
      <c r="AL151" s="312"/>
      <c r="AM151" s="312"/>
      <c r="AN151" s="312"/>
    </row>
    <row r="152" spans="1:40" s="39" customFormat="1" ht="4.5" customHeight="1">
      <c r="A152" s="417"/>
      <c r="B152" s="418"/>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19"/>
      <c r="AE152" s="419"/>
      <c r="AF152" s="239"/>
    </row>
    <row r="153" spans="1:40" s="39" customFormat="1" ht="20.100000000000001" customHeight="1">
      <c r="A153" s="1635" t="s">
        <v>1285</v>
      </c>
      <c r="B153" s="1636"/>
      <c r="C153" s="1636"/>
      <c r="D153" s="1636"/>
      <c r="E153" s="1636"/>
      <c r="F153" s="1636"/>
      <c r="G153" s="1636"/>
      <c r="H153" s="1636"/>
      <c r="I153" s="1442" t="str">
        <f>IF(AND(A138&gt;0,G151&gt;0),G151/A138,"")</f>
        <v/>
      </c>
      <c r="J153" s="1445"/>
      <c r="K153" s="1445"/>
      <c r="L153" s="1445"/>
      <c r="M153" s="1445"/>
      <c r="N153" s="1445"/>
      <c r="O153" s="1612" t="s">
        <v>1213</v>
      </c>
      <c r="P153" s="1613"/>
      <c r="Q153" s="1442" t="str">
        <f>IF(AND(I138&gt;0,O151&gt;0),O151/I138,"")</f>
        <v/>
      </c>
      <c r="R153" s="1445"/>
      <c r="S153" s="1445"/>
      <c r="T153" s="1445"/>
      <c r="U153" s="1445"/>
      <c r="V153" s="1445"/>
      <c r="W153" s="1612" t="s">
        <v>1213</v>
      </c>
      <c r="X153" s="1613"/>
      <c r="Y153" s="419"/>
      <c r="Z153" s="419"/>
      <c r="AA153" s="419"/>
      <c r="AB153" s="419"/>
      <c r="AC153" s="419"/>
      <c r="AD153" s="419"/>
      <c r="AE153" s="419"/>
      <c r="AF153" s="609" t="str">
        <f>IF(OR($AG$48="本票ⅡⅢ回答必要",$AG$48="本票ⅠⅡⅢ回答必要",$AG$48="本票ⅡⅢⅥ回答必要",$AG$48="本票ⅠⅡⅢⅥ回答必要"),"",
IF(AND(I153&lt;&gt;"",I153&gt;=20000000),"←教員一人当たり人件費が2000万円以上です。問題なければ構いません。",
IF(AND(I153&lt;&gt;"",I153&lt;2000000),"←教員一人当たり人件費が200万円未満です。問題なければ構いません。","")))</f>
        <v/>
      </c>
    </row>
    <row r="154" spans="1:40" s="39" customFormat="1" ht="30" customHeight="1">
      <c r="A154" s="1614" t="s">
        <v>1286</v>
      </c>
      <c r="B154" s="1615"/>
      <c r="C154" s="1615"/>
      <c r="D154" s="1615"/>
      <c r="E154" s="1615"/>
      <c r="F154" s="1615"/>
      <c r="G154" s="1615"/>
      <c r="H154" s="1615"/>
      <c r="I154" s="1615"/>
      <c r="J154" s="1615"/>
      <c r="K154" s="1615"/>
      <c r="L154" s="1615"/>
      <c r="M154" s="1615"/>
      <c r="N154" s="1615"/>
      <c r="O154" s="1615"/>
      <c r="P154" s="1615"/>
      <c r="Q154" s="1615"/>
      <c r="R154" s="1615"/>
      <c r="S154" s="1615"/>
      <c r="T154" s="1615"/>
      <c r="U154" s="1615"/>
      <c r="V154" s="1615"/>
      <c r="W154" s="1615"/>
      <c r="X154" s="1615"/>
      <c r="Y154" s="1615"/>
      <c r="Z154" s="1615"/>
      <c r="AA154" s="1615"/>
      <c r="AB154" s="1615"/>
      <c r="AC154" s="1615"/>
      <c r="AD154" s="1615"/>
      <c r="AE154" s="1615"/>
      <c r="AF154" s="239" t="str">
        <f>IF(OR($AG$48="本票ⅡⅢ回答必要",$AG$48="本票ⅠⅡⅢ回答必要",$AG$48="本票ⅡⅢⅥ回答必要",$AG$48="本票ⅠⅡⅢⅥ回答必要"),"",
IF(AND(Q153&lt;&gt;"",Q153&gt;=20000000),"←職員一人当たり人件費が2000万円以上です。問題なければ構いません。",
IF(AND(Q153&lt;&gt;"",Q153&lt;2000000),"←職員一人当たり人件費が200万円未満です。問題なければ構いません。","")))</f>
        <v/>
      </c>
    </row>
    <row r="155" spans="1:40" s="4" customFormat="1" ht="5.0999999999999996" customHeight="1">
      <c r="A155" s="287"/>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604"/>
      <c r="AG155" s="262"/>
      <c r="AH155" s="312"/>
      <c r="AI155" s="312"/>
      <c r="AJ155" s="312"/>
      <c r="AK155" s="313"/>
      <c r="AL155" s="312"/>
      <c r="AM155" s="312"/>
      <c r="AN155" s="312"/>
    </row>
    <row r="156" spans="1:40" s="4" customFormat="1" ht="5.0999999999999996" customHeight="1">
      <c r="A156" s="287"/>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604"/>
      <c r="AG156" s="262"/>
      <c r="AH156" s="312"/>
      <c r="AI156" s="312"/>
      <c r="AJ156" s="312"/>
      <c r="AK156" s="313"/>
      <c r="AL156" s="312"/>
      <c r="AM156" s="312"/>
      <c r="AN156" s="312"/>
    </row>
    <row r="157" spans="1:40" s="2" customFormat="1" ht="5.0999999999999996" customHeight="1">
      <c r="A157" s="1616"/>
      <c r="B157" s="1616"/>
      <c r="C157" s="1616"/>
      <c r="D157" s="1616"/>
      <c r="E157" s="1616"/>
      <c r="F157" s="1616"/>
      <c r="G157" s="1616"/>
      <c r="H157" s="1616"/>
      <c r="I157" s="1616"/>
      <c r="J157" s="1616"/>
      <c r="K157" s="1616"/>
      <c r="L157" s="1616"/>
      <c r="M157" s="1616"/>
      <c r="N157" s="1616"/>
      <c r="O157" s="1616"/>
      <c r="P157" s="1616"/>
      <c r="Q157" s="1616"/>
      <c r="R157" s="1616"/>
      <c r="S157" s="1616"/>
      <c r="T157" s="1616"/>
      <c r="U157" s="1616"/>
      <c r="V157" s="1616"/>
      <c r="W157" s="1616"/>
      <c r="X157" s="1616"/>
      <c r="Y157" s="1616"/>
      <c r="Z157" s="1616"/>
      <c r="AA157" s="1616"/>
      <c r="AB157" s="1616"/>
      <c r="AC157" s="1616"/>
      <c r="AD157" s="1616"/>
      <c r="AE157" s="1616"/>
      <c r="AF157" s="604"/>
      <c r="AG157" s="262"/>
      <c r="AH157" s="354"/>
      <c r="AI157" s="354"/>
      <c r="AJ157" s="354"/>
      <c r="AK157" s="355"/>
      <c r="AL157" s="354"/>
      <c r="AM157" s="354"/>
      <c r="AN157" s="354"/>
    </row>
    <row r="158" spans="1:40" s="39" customFormat="1" ht="15.75" customHeight="1">
      <c r="A158" s="404" t="s">
        <v>1447</v>
      </c>
      <c r="B158" s="404"/>
      <c r="C158" s="404"/>
      <c r="D158" s="404"/>
      <c r="E158" s="404"/>
      <c r="F158" s="404"/>
      <c r="G158" s="404"/>
      <c r="H158" s="404"/>
      <c r="I158" s="404"/>
      <c r="J158" s="404"/>
      <c r="K158" s="404"/>
      <c r="L158" s="404"/>
      <c r="M158" s="404"/>
      <c r="N158" s="404"/>
      <c r="O158" s="404"/>
      <c r="P158" s="404"/>
      <c r="Q158" s="404"/>
      <c r="R158" s="404"/>
      <c r="S158" s="244"/>
      <c r="T158" s="244"/>
      <c r="U158" s="244"/>
      <c r="V158" s="244"/>
      <c r="W158" s="325"/>
      <c r="X158" s="324"/>
      <c r="Y158" s="325"/>
      <c r="Z158" s="324"/>
      <c r="AA158" s="326"/>
      <c r="AB158" s="326"/>
      <c r="AC158" s="325"/>
      <c r="AD158" s="326"/>
      <c r="AE158" s="244"/>
      <c r="AF158" s="239"/>
      <c r="AG158" s="405"/>
      <c r="AH158" s="406"/>
      <c r="AI158" s="406"/>
      <c r="AJ158" s="406"/>
      <c r="AK158" s="407"/>
      <c r="AL158" s="406"/>
      <c r="AM158" s="406"/>
      <c r="AN158" s="406"/>
    </row>
    <row r="159" spans="1:40" s="39" customFormat="1" ht="15.75" customHeight="1" thickBot="1">
      <c r="A159" s="1617" t="s">
        <v>1448</v>
      </c>
      <c r="B159" s="1617"/>
      <c r="C159" s="1617"/>
      <c r="D159" s="1617"/>
      <c r="E159" s="1617"/>
      <c r="F159" s="1617"/>
      <c r="G159" s="1617"/>
      <c r="H159" s="1617"/>
      <c r="I159" s="1617"/>
      <c r="J159" s="1617"/>
      <c r="K159" s="1617"/>
      <c r="L159" s="1617"/>
      <c r="M159" s="1617"/>
      <c r="N159" s="1617"/>
      <c r="O159" s="1617"/>
      <c r="P159" s="1617"/>
      <c r="Q159" s="1617"/>
      <c r="R159" s="1617"/>
      <c r="S159" s="1617"/>
      <c r="T159" s="1617"/>
      <c r="U159" s="1617"/>
      <c r="V159" s="1617"/>
      <c r="W159" s="1617"/>
      <c r="X159" s="1617"/>
      <c r="Y159" s="1617"/>
      <c r="Z159" s="1617"/>
      <c r="AA159" s="326"/>
      <c r="AB159" s="326"/>
      <c r="AC159" s="420" t="s">
        <v>1258</v>
      </c>
      <c r="AD159" s="326"/>
      <c r="AE159" s="244"/>
      <c r="AF159" s="239"/>
      <c r="AG159" s="405"/>
      <c r="AH159" s="406"/>
      <c r="AI159" s="406"/>
      <c r="AJ159" s="406"/>
      <c r="AK159" s="407"/>
      <c r="AL159" s="406"/>
      <c r="AM159" s="406"/>
      <c r="AN159" s="406"/>
    </row>
    <row r="160" spans="1:40" s="39" customFormat="1" ht="16.5" customHeight="1">
      <c r="A160" s="1618" t="s">
        <v>22</v>
      </c>
      <c r="B160" s="1619"/>
      <c r="C160" s="1250" t="s">
        <v>23</v>
      </c>
      <c r="D160" s="1251"/>
      <c r="E160" s="1622" t="s">
        <v>24</v>
      </c>
      <c r="F160" s="1623"/>
      <c r="G160" s="1623"/>
      <c r="H160" s="1623"/>
      <c r="I160" s="1623"/>
      <c r="J160" s="1623"/>
      <c r="K160" s="1623"/>
      <c r="L160" s="1623"/>
      <c r="M160" s="1623"/>
      <c r="N160" s="1623"/>
      <c r="O160" s="1623"/>
      <c r="P160" s="1623"/>
      <c r="Q160" s="1624"/>
      <c r="R160" s="1259"/>
      <c r="S160" s="1260"/>
      <c r="T160" s="1260"/>
      <c r="U160" s="1260"/>
      <c r="V160" s="1260"/>
      <c r="W160" s="1260"/>
      <c r="X160" s="1260"/>
      <c r="Y160" s="1260"/>
      <c r="Z160" s="1260"/>
      <c r="AA160" s="1260"/>
      <c r="AB160" s="421" t="s">
        <v>1249</v>
      </c>
      <c r="AC160" s="422"/>
      <c r="AD160" s="423"/>
      <c r="AE160" s="244"/>
      <c r="AF160" s="601" t="str">
        <f>IF(OR($AG$48="本票ⅡⅢ回答必要",$AG$48="本票ⅠⅡⅢ回答必要"),"",
IF(R160="","←未記入です。（0円の場合は「0」を入力してください。）",
IF(R160&lt;1000000,"←100万円未満のため桁数を確認してください。（正しい場合は構いません。）","")))</f>
        <v>←未記入です。（0円の場合は「0」を入力してください。）</v>
      </c>
      <c r="AG160" s="424"/>
      <c r="AH160" s="406"/>
      <c r="AI160" s="406"/>
      <c r="AJ160" s="406"/>
      <c r="AK160" s="407"/>
      <c r="AL160" s="406"/>
      <c r="AM160" s="406"/>
      <c r="AN160" s="406"/>
    </row>
    <row r="161" spans="1:54" s="39" customFormat="1" ht="16.5" customHeight="1">
      <c r="A161" s="1620"/>
      <c r="B161" s="1621"/>
      <c r="C161" s="1252"/>
      <c r="D161" s="1253"/>
      <c r="E161" s="1596" t="s">
        <v>25</v>
      </c>
      <c r="F161" s="1610"/>
      <c r="G161" s="1610"/>
      <c r="H161" s="1610"/>
      <c r="I161" s="1610"/>
      <c r="J161" s="1610"/>
      <c r="K161" s="1610"/>
      <c r="L161" s="1610"/>
      <c r="M161" s="1610"/>
      <c r="N161" s="1610"/>
      <c r="O161" s="1610"/>
      <c r="P161" s="1610"/>
      <c r="Q161" s="1611"/>
      <c r="R161" s="1238"/>
      <c r="S161" s="1239"/>
      <c r="T161" s="1239"/>
      <c r="U161" s="1239"/>
      <c r="V161" s="1239"/>
      <c r="W161" s="1239"/>
      <c r="X161" s="1239"/>
      <c r="Y161" s="1239"/>
      <c r="Z161" s="1239"/>
      <c r="AA161" s="1239"/>
      <c r="AB161" s="425" t="s">
        <v>1249</v>
      </c>
      <c r="AC161" s="426"/>
      <c r="AD161" s="427"/>
      <c r="AE161" s="244"/>
      <c r="AF161" s="601" t="str">
        <f>IF(OR($AG$48="本票ⅡⅢ回答必要",$AG$48="本票ⅠⅡⅢ回答必要"),"",
IF(R161="","←未記入です。（0円の場合は「0」を入力してください。）",""))</f>
        <v>←未記入です。（0円の場合は「0」を入力してください。）</v>
      </c>
      <c r="AG161" s="424"/>
      <c r="AH161" s="406"/>
      <c r="AI161" s="406"/>
      <c r="AJ161" s="406"/>
      <c r="AK161" s="407"/>
      <c r="AL161" s="406"/>
      <c r="AM161" s="406"/>
      <c r="AN161" s="406"/>
    </row>
    <row r="162" spans="1:54" s="39" customFormat="1" ht="16.5" customHeight="1">
      <c r="A162" s="1620"/>
      <c r="B162" s="1621"/>
      <c r="C162" s="1252"/>
      <c r="D162" s="1253"/>
      <c r="E162" s="1596" t="s">
        <v>26</v>
      </c>
      <c r="F162" s="1610"/>
      <c r="G162" s="1610"/>
      <c r="H162" s="1610"/>
      <c r="I162" s="1610"/>
      <c r="J162" s="1610"/>
      <c r="K162" s="1610"/>
      <c r="L162" s="1610"/>
      <c r="M162" s="1610"/>
      <c r="N162" s="1610"/>
      <c r="O162" s="1610"/>
      <c r="P162" s="1610"/>
      <c r="Q162" s="1611"/>
      <c r="R162" s="1238"/>
      <c r="S162" s="1239"/>
      <c r="T162" s="1239"/>
      <c r="U162" s="1239"/>
      <c r="V162" s="1239"/>
      <c r="W162" s="1239"/>
      <c r="X162" s="1239"/>
      <c r="Y162" s="1239"/>
      <c r="Z162" s="1239"/>
      <c r="AA162" s="1239"/>
      <c r="AB162" s="425" t="s">
        <v>1249</v>
      </c>
      <c r="AC162" s="426"/>
      <c r="AD162" s="423"/>
      <c r="AE162" s="244"/>
      <c r="AF162" s="601" t="str">
        <f>IF(OR($AG$48="本票ⅡⅢ回答必要",$AG$48="本票ⅠⅡⅢ回答必要"),"",
IF(R162="","←未記入です。（0円の場合は「0」を入力してください。）",""))</f>
        <v>←未記入です。（0円の場合は「0」を入力してください。）</v>
      </c>
      <c r="AG162" s="424"/>
      <c r="AH162" s="406"/>
      <c r="AI162" s="406"/>
      <c r="AJ162" s="406"/>
      <c r="AK162" s="407"/>
      <c r="AL162" s="406"/>
      <c r="AM162" s="406"/>
      <c r="AN162" s="406"/>
    </row>
    <row r="163" spans="1:54" s="39" customFormat="1" ht="16.5" customHeight="1">
      <c r="A163" s="1620"/>
      <c r="B163" s="1621"/>
      <c r="C163" s="1252"/>
      <c r="D163" s="1253"/>
      <c r="E163" s="1596" t="s">
        <v>27</v>
      </c>
      <c r="F163" s="1610"/>
      <c r="G163" s="1610"/>
      <c r="H163" s="1610"/>
      <c r="I163" s="1610"/>
      <c r="J163" s="1610"/>
      <c r="K163" s="1610"/>
      <c r="L163" s="1610"/>
      <c r="M163" s="1610"/>
      <c r="N163" s="1610"/>
      <c r="O163" s="1610"/>
      <c r="P163" s="1610"/>
      <c r="Q163" s="1611"/>
      <c r="R163" s="1238"/>
      <c r="S163" s="1239"/>
      <c r="T163" s="1239"/>
      <c r="U163" s="1239"/>
      <c r="V163" s="1239"/>
      <c r="W163" s="1239"/>
      <c r="X163" s="1239"/>
      <c r="Y163" s="1239"/>
      <c r="Z163" s="1239"/>
      <c r="AA163" s="1239"/>
      <c r="AB163" s="425" t="s">
        <v>1249</v>
      </c>
      <c r="AC163" s="426"/>
      <c r="AD163" s="427"/>
      <c r="AE163" s="244"/>
      <c r="AF163" s="601" t="str">
        <f>IF(OR($AG$48="本票ⅡⅢ回答必要",$AG$48="本票ⅠⅡⅢ回答必要"),"",
IF(R163="","←未記入です。（0円の場合は「0」を入力してください。）",""))</f>
        <v>←未記入です。（0円の場合は「0」を入力してください。）</v>
      </c>
      <c r="AG163" s="424"/>
      <c r="AH163" s="406"/>
      <c r="AI163" s="406"/>
      <c r="AJ163" s="406"/>
      <c r="AK163" s="407"/>
      <c r="AL163" s="406"/>
      <c r="AM163" s="406"/>
      <c r="AN163" s="406"/>
    </row>
    <row r="164" spans="1:54" s="39" customFormat="1" ht="16.5" customHeight="1">
      <c r="A164" s="1620"/>
      <c r="B164" s="1621"/>
      <c r="C164" s="1252"/>
      <c r="D164" s="1253"/>
      <c r="E164" s="1596" t="s">
        <v>376</v>
      </c>
      <c r="F164" s="1610"/>
      <c r="G164" s="1610"/>
      <c r="H164" s="1610"/>
      <c r="I164" s="1610"/>
      <c r="J164" s="1610"/>
      <c r="K164" s="1610"/>
      <c r="L164" s="1610"/>
      <c r="M164" s="1610"/>
      <c r="N164" s="1610"/>
      <c r="O164" s="1610"/>
      <c r="P164" s="1610"/>
      <c r="Q164" s="1611"/>
      <c r="R164" s="1238"/>
      <c r="S164" s="1239"/>
      <c r="T164" s="1239"/>
      <c r="U164" s="1239"/>
      <c r="V164" s="1239"/>
      <c r="W164" s="1239"/>
      <c r="X164" s="1239"/>
      <c r="Y164" s="1239"/>
      <c r="Z164" s="1239"/>
      <c r="AA164" s="1239"/>
      <c r="AB164" s="425" t="s">
        <v>1249</v>
      </c>
      <c r="AC164" s="426"/>
      <c r="AD164" s="423"/>
      <c r="AE164" s="244"/>
      <c r="AF164" s="601" t="str">
        <f>IF(OR($AG$48="本票ⅡⅢ回答必要",$AG$48="本票ⅠⅡⅢ回答必要"),"",
IF(R164="","←未記入です。（0円の場合は「0」を入力してください。）",""))</f>
        <v>←未記入です。（0円の場合は「0」を入力してください。）</v>
      </c>
      <c r="AG164" s="424"/>
      <c r="AH164" s="406"/>
      <c r="AI164" s="406"/>
      <c r="AJ164" s="406"/>
      <c r="AK164" s="407"/>
      <c r="AL164" s="406"/>
      <c r="AM164" s="406"/>
      <c r="AN164" s="406"/>
    </row>
    <row r="165" spans="1:54" s="39" customFormat="1" ht="16.5" customHeight="1">
      <c r="A165" s="1620"/>
      <c r="B165" s="1621"/>
      <c r="C165" s="1252"/>
      <c r="D165" s="1253"/>
      <c r="E165" s="1599" t="s">
        <v>28</v>
      </c>
      <c r="F165" s="1600"/>
      <c r="G165" s="1600"/>
      <c r="H165" s="1600"/>
      <c r="I165" s="1600"/>
      <c r="J165" s="1600"/>
      <c r="K165" s="1600"/>
      <c r="L165" s="1600"/>
      <c r="M165" s="1600"/>
      <c r="N165" s="1600"/>
      <c r="O165" s="1600"/>
      <c r="P165" s="1600"/>
      <c r="Q165" s="1601"/>
      <c r="R165" s="1602"/>
      <c r="S165" s="1603"/>
      <c r="T165" s="1603"/>
      <c r="U165" s="1603"/>
      <c r="V165" s="1603"/>
      <c r="W165" s="1603"/>
      <c r="X165" s="1603"/>
      <c r="Y165" s="1603"/>
      <c r="Z165" s="1603"/>
      <c r="AA165" s="1603"/>
      <c r="AB165" s="428" t="s">
        <v>1249</v>
      </c>
      <c r="AC165" s="429"/>
      <c r="AD165" s="423"/>
      <c r="AE165" s="244"/>
      <c r="AF165" s="601" t="str">
        <f>IF(OR($AG$48="本票ⅡⅢ回答必要",$AG$48="本票ⅠⅡⅢ回答必要"),"",
IF(R165="","←未記入です。（0円の場合は「0」を入力してください。）",""))</f>
        <v>←未記入です。（0円の場合は「0」を入力してください。）</v>
      </c>
      <c r="AG165" s="424"/>
      <c r="AH165" s="406"/>
      <c r="AI165" s="406"/>
      <c r="AJ165" s="406"/>
      <c r="AK165" s="407"/>
      <c r="AL165" s="406"/>
      <c r="AM165" s="406"/>
      <c r="AN165" s="406"/>
    </row>
    <row r="166" spans="1:54" s="39" customFormat="1" ht="16.5" customHeight="1">
      <c r="A166" s="1620"/>
      <c r="B166" s="1621"/>
      <c r="C166" s="1254"/>
      <c r="D166" s="1255"/>
      <c r="E166" s="1263" t="s">
        <v>29</v>
      </c>
      <c r="F166" s="1263"/>
      <c r="G166" s="1263"/>
      <c r="H166" s="1263"/>
      <c r="I166" s="1263"/>
      <c r="J166" s="1263"/>
      <c r="K166" s="1263"/>
      <c r="L166" s="1263"/>
      <c r="M166" s="1263"/>
      <c r="N166" s="1263"/>
      <c r="O166" s="1263"/>
      <c r="P166" s="1263"/>
      <c r="Q166" s="1264"/>
      <c r="R166" s="1265">
        <f>R160+R161+R162+R163+R164+R165</f>
        <v>0</v>
      </c>
      <c r="S166" s="1266"/>
      <c r="T166" s="1266"/>
      <c r="U166" s="1266"/>
      <c r="V166" s="1266"/>
      <c r="W166" s="1266"/>
      <c r="X166" s="1266"/>
      <c r="Y166" s="1266"/>
      <c r="Z166" s="1266"/>
      <c r="AA166" s="1266"/>
      <c r="AB166" s="430" t="s">
        <v>1249</v>
      </c>
      <c r="AC166" s="431"/>
      <c r="AD166" s="427"/>
      <c r="AE166" s="244"/>
      <c r="AF166" s="601" t="str">
        <f>IF(OR($AG$48="本票ⅡⅢ回答必要",$AG$48="本票ⅠⅡⅢ回答必要"),"",
IF(SUM(R160:AA165)&lt;&gt;R166,"←教育活動収入計が明細計と一致しません。",""))</f>
        <v/>
      </c>
      <c r="AG166" s="424"/>
      <c r="AH166" s="406"/>
      <c r="AI166" s="406"/>
      <c r="AJ166" s="406"/>
      <c r="AK166" s="407"/>
      <c r="AL166" s="406"/>
      <c r="AM166" s="406"/>
      <c r="AN166" s="406"/>
    </row>
    <row r="167" spans="1:54" s="39" customFormat="1" ht="16.5" customHeight="1">
      <c r="A167" s="1620"/>
      <c r="B167" s="1621"/>
      <c r="C167" s="1267" t="s">
        <v>30</v>
      </c>
      <c r="D167" s="1268"/>
      <c r="E167" s="1625" t="s">
        <v>31</v>
      </c>
      <c r="F167" s="1626"/>
      <c r="G167" s="1626"/>
      <c r="H167" s="1626"/>
      <c r="I167" s="1626"/>
      <c r="J167" s="1626"/>
      <c r="K167" s="1626"/>
      <c r="L167" s="1626"/>
      <c r="M167" s="1626"/>
      <c r="N167" s="1626"/>
      <c r="O167" s="1626"/>
      <c r="P167" s="1626"/>
      <c r="Q167" s="1627"/>
      <c r="R167" s="1276"/>
      <c r="S167" s="1277"/>
      <c r="T167" s="1277"/>
      <c r="U167" s="1277"/>
      <c r="V167" s="1277"/>
      <c r="W167" s="1277"/>
      <c r="X167" s="1277"/>
      <c r="Y167" s="1277"/>
      <c r="Z167" s="1277"/>
      <c r="AA167" s="1277"/>
      <c r="AB167" s="432" t="s">
        <v>1249</v>
      </c>
      <c r="AC167" s="433"/>
      <c r="AD167" s="423"/>
      <c r="AE167" s="244"/>
      <c r="AF167" s="601" t="str">
        <f>IF(OR($AG$48="本票ⅡⅢ回答必要",$AG$48="本票ⅠⅡⅢ回答必要"),"",
IF(R167="","←未記入です。（0円の場合は「0」を入力してください。）",""))</f>
        <v>←未記入です。（0円の場合は「0」を入力してください。）</v>
      </c>
      <c r="AG167" s="424"/>
      <c r="AH167" s="406"/>
      <c r="AI167" s="406"/>
      <c r="AJ167" s="406"/>
      <c r="AK167" s="407"/>
      <c r="AL167" s="406"/>
      <c r="AM167" s="406"/>
      <c r="AN167" s="406"/>
    </row>
    <row r="168" spans="1:54" s="39" customFormat="1" ht="16.5" customHeight="1">
      <c r="A168" s="1620"/>
      <c r="B168" s="1621"/>
      <c r="C168" s="1269"/>
      <c r="D168" s="1270"/>
      <c r="E168" s="1606" t="s">
        <v>1449</v>
      </c>
      <c r="F168" s="1607"/>
      <c r="G168" s="1607"/>
      <c r="H168" s="1607"/>
      <c r="I168" s="1607"/>
      <c r="J168" s="1607"/>
      <c r="K168" s="1607"/>
      <c r="L168" s="1607"/>
      <c r="M168" s="1607"/>
      <c r="N168" s="1607"/>
      <c r="O168" s="1607"/>
      <c r="P168" s="1607"/>
      <c r="Q168" s="1608"/>
      <c r="R168" s="434" t="s">
        <v>1087</v>
      </c>
      <c r="S168" s="1234"/>
      <c r="T168" s="1234"/>
      <c r="U168" s="1234"/>
      <c r="V168" s="1234"/>
      <c r="W168" s="1234"/>
      <c r="X168" s="1234"/>
      <c r="Y168" s="1234"/>
      <c r="Z168" s="1234"/>
      <c r="AA168" s="1234"/>
      <c r="AB168" s="435" t="s">
        <v>1247</v>
      </c>
      <c r="AC168" s="426"/>
      <c r="AD168" s="423"/>
      <c r="AE168" s="244"/>
      <c r="AF168" s="601" t="str">
        <f>IF(OR($AG$48="本票ⅡⅢ回答必要",$AG$48="本票ⅠⅡⅢ回答必要"),"",
IF(S168="","←未記入です。（0円の場合は「0」を入力してください。",
IF(S168&gt;R167,"←「うち退職給与引当金繰入額」が「人件費」を上回っています。","")))</f>
        <v>←未記入です。（0円の場合は「0」を入力してください。</v>
      </c>
      <c r="AG168" s="424"/>
      <c r="AH168" s="406"/>
      <c r="AI168" s="406"/>
      <c r="AJ168" s="406"/>
      <c r="AK168" s="407"/>
      <c r="AL168" s="406"/>
      <c r="AM168" s="406"/>
      <c r="AN168" s="406"/>
    </row>
    <row r="169" spans="1:54" s="39" customFormat="1" ht="16.5" customHeight="1">
      <c r="A169" s="1620"/>
      <c r="B169" s="1621"/>
      <c r="C169" s="1269"/>
      <c r="D169" s="1270"/>
      <c r="E169" s="1596" t="s">
        <v>32</v>
      </c>
      <c r="F169" s="1597"/>
      <c r="G169" s="1597"/>
      <c r="H169" s="1597"/>
      <c r="I169" s="1597"/>
      <c r="J169" s="1597"/>
      <c r="K169" s="1597"/>
      <c r="L169" s="1597"/>
      <c r="M169" s="1597"/>
      <c r="N169" s="1597"/>
      <c r="O169" s="1597"/>
      <c r="P169" s="1597"/>
      <c r="Q169" s="1598"/>
      <c r="R169" s="1238"/>
      <c r="S169" s="1239"/>
      <c r="T169" s="1239"/>
      <c r="U169" s="1239"/>
      <c r="V169" s="1239"/>
      <c r="W169" s="1239"/>
      <c r="X169" s="1239"/>
      <c r="Y169" s="1239"/>
      <c r="Z169" s="1239"/>
      <c r="AA169" s="1239"/>
      <c r="AB169" s="425" t="s">
        <v>1249</v>
      </c>
      <c r="AC169" s="426"/>
      <c r="AD169" s="423"/>
      <c r="AE169" s="244"/>
      <c r="AF169" s="601" t="str">
        <f>IF(OR($AG$48="本票ⅡⅢ回答必要",$AG$48="本票ⅠⅡⅢ回答必要"),"",
IF(R169="","←未記入です。（0円の場合は「0」を入力してください。）",""))</f>
        <v>←未記入です。（0円の場合は「0」を入力してください。）</v>
      </c>
      <c r="AG169" s="424"/>
      <c r="AH169" s="406"/>
      <c r="AI169" s="406"/>
      <c r="AJ169" s="406"/>
      <c r="AK169" s="407"/>
      <c r="AL169" s="406"/>
      <c r="AM169" s="406"/>
      <c r="AN169" s="406"/>
    </row>
    <row r="170" spans="1:54" s="39" customFormat="1" ht="16.5" customHeight="1">
      <c r="A170" s="1620"/>
      <c r="B170" s="1621"/>
      <c r="C170" s="1269"/>
      <c r="D170" s="1270"/>
      <c r="E170" s="1606" t="s">
        <v>1450</v>
      </c>
      <c r="F170" s="1607"/>
      <c r="G170" s="1607"/>
      <c r="H170" s="1607"/>
      <c r="I170" s="1607"/>
      <c r="J170" s="1607"/>
      <c r="K170" s="1607"/>
      <c r="L170" s="1607"/>
      <c r="M170" s="1607"/>
      <c r="N170" s="1607"/>
      <c r="O170" s="1607"/>
      <c r="P170" s="1607"/>
      <c r="Q170" s="1608"/>
      <c r="R170" s="1238"/>
      <c r="S170" s="1239"/>
      <c r="T170" s="1239"/>
      <c r="U170" s="1239"/>
      <c r="V170" s="1239"/>
      <c r="W170" s="1239"/>
      <c r="X170" s="1239"/>
      <c r="Y170" s="1239"/>
      <c r="Z170" s="1239"/>
      <c r="AA170" s="1239"/>
      <c r="AB170" s="435" t="s">
        <v>1247</v>
      </c>
      <c r="AC170" s="426"/>
      <c r="AD170" s="423"/>
      <c r="AE170" s="244"/>
      <c r="AF170" s="601" t="str">
        <f>IF(OR($AG$48="本票ⅡⅢ回答必要",$AG$48="本票ⅠⅡⅢ回答必要"),"",
IF(R170="","←未記入です。（0円の場合は「0」を入力してください。",
IF(R170&gt;R169,"←「うち減価償却費」が「教育研究経費」を上回っています。","")))</f>
        <v>←未記入です。（0円の場合は「0」を入力してください。</v>
      </c>
      <c r="AG170" s="424"/>
      <c r="AH170" s="406"/>
      <c r="AI170" s="406"/>
      <c r="AJ170" s="406"/>
      <c r="AK170" s="407"/>
      <c r="AL170" s="406"/>
      <c r="AM170" s="406"/>
      <c r="AN170" s="406"/>
    </row>
    <row r="171" spans="1:54" s="42" customFormat="1" ht="16.5" customHeight="1">
      <c r="A171" s="1620"/>
      <c r="B171" s="1621"/>
      <c r="C171" s="1269"/>
      <c r="D171" s="1270"/>
      <c r="E171" s="1596" t="s">
        <v>33</v>
      </c>
      <c r="F171" s="1597"/>
      <c r="G171" s="1597"/>
      <c r="H171" s="1597"/>
      <c r="I171" s="1597"/>
      <c r="J171" s="1597"/>
      <c r="K171" s="1597"/>
      <c r="L171" s="1597"/>
      <c r="M171" s="1597"/>
      <c r="N171" s="1597"/>
      <c r="O171" s="1597"/>
      <c r="P171" s="1597"/>
      <c r="Q171" s="1598"/>
      <c r="R171" s="1238"/>
      <c r="S171" s="1239"/>
      <c r="T171" s="1239"/>
      <c r="U171" s="1239"/>
      <c r="V171" s="1239"/>
      <c r="W171" s="1239"/>
      <c r="X171" s="1239"/>
      <c r="Y171" s="1239"/>
      <c r="Z171" s="1239"/>
      <c r="AA171" s="1239"/>
      <c r="AB171" s="425" t="s">
        <v>1249</v>
      </c>
      <c r="AC171" s="426"/>
      <c r="AD171" s="244"/>
      <c r="AE171" s="244"/>
      <c r="AF171" s="601" t="str">
        <f>IF(OR($AG$48="本票ⅡⅢ回答必要",$AG$48="本票ⅠⅡⅢ回答必要"),"",
IF(R171="","←未記入です。（0円の場合は「0」を入力してください。）",""))</f>
        <v>←未記入です。（0円の場合は「0」を入力してください。）</v>
      </c>
      <c r="AG171" s="424"/>
      <c r="AH171" s="406"/>
      <c r="AI171" s="406"/>
      <c r="AJ171" s="406"/>
      <c r="AK171" s="407"/>
      <c r="AL171" s="406"/>
      <c r="AM171" s="406"/>
      <c r="AN171" s="406"/>
      <c r="AO171" s="39"/>
      <c r="AP171" s="39"/>
      <c r="AQ171" s="39"/>
      <c r="AR171" s="39"/>
      <c r="AS171" s="39"/>
      <c r="AT171" s="39"/>
      <c r="AU171" s="39"/>
      <c r="AV171" s="39"/>
      <c r="AW171" s="39"/>
      <c r="AX171" s="39"/>
      <c r="AY171" s="39"/>
      <c r="AZ171" s="39"/>
      <c r="BA171" s="39"/>
      <c r="BB171" s="39"/>
    </row>
    <row r="172" spans="1:54" s="42" customFormat="1" ht="16.5" customHeight="1">
      <c r="A172" s="1620"/>
      <c r="B172" s="1621"/>
      <c r="C172" s="1269"/>
      <c r="D172" s="1270"/>
      <c r="E172" s="1606" t="s">
        <v>1450</v>
      </c>
      <c r="F172" s="1607"/>
      <c r="G172" s="1607"/>
      <c r="H172" s="1607"/>
      <c r="I172" s="1607"/>
      <c r="J172" s="1607"/>
      <c r="K172" s="1607"/>
      <c r="L172" s="1607"/>
      <c r="M172" s="1607"/>
      <c r="N172" s="1607"/>
      <c r="O172" s="1607"/>
      <c r="P172" s="1607"/>
      <c r="Q172" s="1608"/>
      <c r="R172" s="434" t="s">
        <v>1087</v>
      </c>
      <c r="S172" s="1609"/>
      <c r="T172" s="1609"/>
      <c r="U172" s="1609"/>
      <c r="V172" s="1609"/>
      <c r="W172" s="1609"/>
      <c r="X172" s="1609"/>
      <c r="Y172" s="1609"/>
      <c r="Z172" s="1609"/>
      <c r="AA172" s="1609"/>
      <c r="AB172" s="435" t="s">
        <v>1247</v>
      </c>
      <c r="AC172" s="426"/>
      <c r="AD172" s="244"/>
      <c r="AE172" s="244"/>
      <c r="AF172" s="601" t="str">
        <f>IF(OR($AG$48="本票ⅡⅢ回答必要",$AG$48="本票ⅠⅡⅢ回答必要"),"",
IF(S172="","←未記入です。（0円の場合は「0」を入力してください。",
IF(S172&gt;R171,"←「うち減価償却費」が「管理経費」を上回っています。","")))</f>
        <v>←未記入です。（0円の場合は「0」を入力してください。</v>
      </c>
      <c r="AG172" s="424"/>
      <c r="AH172" s="406"/>
      <c r="AI172" s="406"/>
      <c r="AJ172" s="406"/>
      <c r="AK172" s="407"/>
      <c r="AL172" s="406"/>
      <c r="AM172" s="406"/>
      <c r="AN172" s="406"/>
      <c r="AO172" s="39"/>
      <c r="AP172" s="39"/>
      <c r="AQ172" s="39"/>
      <c r="AR172" s="39"/>
      <c r="AS172" s="39"/>
      <c r="AT172" s="39"/>
      <c r="AU172" s="39"/>
      <c r="AV172" s="39"/>
      <c r="AW172" s="39"/>
      <c r="AX172" s="39"/>
      <c r="AY172" s="39"/>
      <c r="AZ172" s="39"/>
      <c r="BA172" s="39"/>
      <c r="BB172" s="39"/>
    </row>
    <row r="173" spans="1:54" s="42" customFormat="1" ht="16.5" customHeight="1">
      <c r="A173" s="1620"/>
      <c r="B173" s="1621"/>
      <c r="C173" s="1269"/>
      <c r="D173" s="1270"/>
      <c r="E173" s="1599" t="s">
        <v>34</v>
      </c>
      <c r="F173" s="1600"/>
      <c r="G173" s="1600"/>
      <c r="H173" s="1600"/>
      <c r="I173" s="1600"/>
      <c r="J173" s="1600"/>
      <c r="K173" s="1600"/>
      <c r="L173" s="1600"/>
      <c r="M173" s="1600"/>
      <c r="N173" s="1600"/>
      <c r="O173" s="1600"/>
      <c r="P173" s="1600"/>
      <c r="Q173" s="1601"/>
      <c r="R173" s="1602"/>
      <c r="S173" s="1603"/>
      <c r="T173" s="1603"/>
      <c r="U173" s="1603"/>
      <c r="V173" s="1603"/>
      <c r="W173" s="1603"/>
      <c r="X173" s="1603"/>
      <c r="Y173" s="1603"/>
      <c r="Z173" s="1603"/>
      <c r="AA173" s="1603"/>
      <c r="AB173" s="425" t="s">
        <v>1249</v>
      </c>
      <c r="AC173" s="426"/>
      <c r="AD173" s="423"/>
      <c r="AE173" s="244"/>
      <c r="AF173" s="601" t="str">
        <f>IF(OR($AG$48="本票ⅡⅢ回答必要",$AG$48="本票ⅠⅡⅢ回答必要"),"",
IF(R173="","←未記入です。（0円の場合は「0」を入力してください。）",""))</f>
        <v>←未記入です。（0円の場合は「0」を入力してください。）</v>
      </c>
      <c r="AG173" s="424"/>
      <c r="AH173" s="406"/>
      <c r="AI173" s="406"/>
      <c r="AJ173" s="406"/>
      <c r="AK173" s="407"/>
      <c r="AL173" s="406"/>
      <c r="AM173" s="406"/>
      <c r="AN173" s="406"/>
      <c r="AO173" s="39"/>
      <c r="AP173" s="39"/>
      <c r="AQ173" s="39"/>
      <c r="AR173" s="39"/>
      <c r="AS173" s="39"/>
      <c r="AT173" s="39"/>
      <c r="AU173" s="39"/>
      <c r="AV173" s="39"/>
      <c r="AW173" s="39"/>
      <c r="AX173" s="39"/>
      <c r="AY173" s="39"/>
      <c r="AZ173" s="39"/>
      <c r="BA173" s="39"/>
      <c r="BB173" s="39"/>
    </row>
    <row r="174" spans="1:54" s="42" customFormat="1" ht="16.5" customHeight="1">
      <c r="A174" s="1620"/>
      <c r="B174" s="1621"/>
      <c r="C174" s="1271"/>
      <c r="D174" s="1272"/>
      <c r="E174" s="1242" t="s">
        <v>35</v>
      </c>
      <c r="F174" s="1242"/>
      <c r="G174" s="1242"/>
      <c r="H174" s="1242"/>
      <c r="I174" s="1242"/>
      <c r="J174" s="1242"/>
      <c r="K174" s="1242"/>
      <c r="L174" s="1242"/>
      <c r="M174" s="1242"/>
      <c r="N174" s="1242"/>
      <c r="O174" s="1242"/>
      <c r="P174" s="1242"/>
      <c r="Q174" s="1243"/>
      <c r="R174" s="1285">
        <f>R167+R169+R170+R171+R173</f>
        <v>0</v>
      </c>
      <c r="S174" s="1286"/>
      <c r="T174" s="1286"/>
      <c r="U174" s="1286"/>
      <c r="V174" s="1286"/>
      <c r="W174" s="1286"/>
      <c r="X174" s="1286"/>
      <c r="Y174" s="1286"/>
      <c r="Z174" s="1286"/>
      <c r="AA174" s="1286"/>
      <c r="AB174" s="430" t="s">
        <v>1249</v>
      </c>
      <c r="AC174" s="431"/>
      <c r="AD174" s="423"/>
      <c r="AE174" s="244"/>
      <c r="AF174" s="601" t="str">
        <f>IF(OR($AG$48="本票ⅡⅢ回答必要",$AG$48="本票ⅠⅡⅢ回答必要"),"",
IF(SUM(R167,R169:AA171,R173)&lt;&gt;R174,"←教育活動支出計が明細計と一致しません。",""))</f>
        <v/>
      </c>
      <c r="AG174" s="424"/>
      <c r="AH174" s="406"/>
      <c r="AI174" s="406"/>
      <c r="AJ174" s="406"/>
      <c r="AK174" s="407"/>
      <c r="AL174" s="406"/>
      <c r="AM174" s="406"/>
      <c r="AN174" s="406"/>
      <c r="AO174" s="39"/>
      <c r="AP174" s="39"/>
      <c r="AQ174" s="39"/>
      <c r="AR174" s="39"/>
      <c r="AS174" s="39"/>
      <c r="AT174" s="39"/>
      <c r="AU174" s="39"/>
      <c r="AV174" s="39"/>
      <c r="AW174" s="39"/>
      <c r="AX174" s="39"/>
      <c r="AY174" s="39"/>
      <c r="AZ174" s="39"/>
      <c r="BA174" s="39"/>
      <c r="BB174" s="39"/>
    </row>
    <row r="175" spans="1:54" s="42" customFormat="1" ht="16.5" customHeight="1">
      <c r="A175" s="436"/>
      <c r="B175" s="437"/>
      <c r="C175" s="1581" t="s">
        <v>36</v>
      </c>
      <c r="D175" s="1582"/>
      <c r="E175" s="1582"/>
      <c r="F175" s="1582"/>
      <c r="G175" s="1582"/>
      <c r="H175" s="1582"/>
      <c r="I175" s="1582"/>
      <c r="J175" s="1582"/>
      <c r="K175" s="1582"/>
      <c r="L175" s="1582"/>
      <c r="M175" s="1582"/>
      <c r="N175" s="1582"/>
      <c r="O175" s="1582"/>
      <c r="P175" s="1582"/>
      <c r="Q175" s="1583"/>
      <c r="R175" s="1604">
        <f>R166-R174</f>
        <v>0</v>
      </c>
      <c r="S175" s="1605"/>
      <c r="T175" s="1605"/>
      <c r="U175" s="1605"/>
      <c r="V175" s="1605"/>
      <c r="W175" s="1605"/>
      <c r="X175" s="1605"/>
      <c r="Y175" s="1605"/>
      <c r="Z175" s="1605"/>
      <c r="AA175" s="1605"/>
      <c r="AB175" s="430" t="s">
        <v>1249</v>
      </c>
      <c r="AC175" s="431"/>
      <c r="AD175" s="259"/>
      <c r="AE175" s="244"/>
      <c r="AF175" s="601" t="str">
        <f>IF(OR($AG$48="本票ⅡⅢ回答必要",$AG$48="本票ⅠⅡⅢ回答必要"),"",
IF(R166-R174&lt;&gt;R175,"←教育活動収支差額が「教育活動収入計-教育活動支出計」と一致しません。",""))</f>
        <v/>
      </c>
      <c r="AG175" s="424"/>
      <c r="AH175" s="406"/>
      <c r="AI175" s="406"/>
      <c r="AJ175" s="406"/>
      <c r="AK175" s="407"/>
      <c r="AL175" s="406"/>
      <c r="AM175" s="406"/>
      <c r="AN175" s="406"/>
      <c r="AO175" s="39"/>
      <c r="AP175" s="39"/>
      <c r="AQ175" s="39"/>
      <c r="AR175" s="39"/>
      <c r="AS175" s="39"/>
      <c r="AT175" s="39"/>
      <c r="AU175" s="39"/>
      <c r="AV175" s="39"/>
      <c r="AW175" s="39"/>
      <c r="AX175" s="39"/>
      <c r="AY175" s="39"/>
      <c r="AZ175" s="39"/>
      <c r="BA175" s="39"/>
      <c r="BB175" s="39"/>
    </row>
    <row r="176" spans="1:54" s="42" customFormat="1" ht="16.5" customHeight="1">
      <c r="A176" s="1589" t="s">
        <v>377</v>
      </c>
      <c r="B176" s="1590"/>
      <c r="C176" s="47"/>
      <c r="D176" s="48"/>
      <c r="E176" s="1263" t="s">
        <v>378</v>
      </c>
      <c r="F176" s="1263"/>
      <c r="G176" s="1263"/>
      <c r="H176" s="1263"/>
      <c r="I176" s="1263"/>
      <c r="J176" s="1263"/>
      <c r="K176" s="1263"/>
      <c r="L176" s="1263"/>
      <c r="M176" s="1263"/>
      <c r="N176" s="1263"/>
      <c r="O176" s="1263"/>
      <c r="P176" s="1263"/>
      <c r="Q176" s="1264"/>
      <c r="R176" s="1295"/>
      <c r="S176" s="1296"/>
      <c r="T176" s="1296"/>
      <c r="U176" s="1296"/>
      <c r="V176" s="1296"/>
      <c r="W176" s="1296"/>
      <c r="X176" s="1296"/>
      <c r="Y176" s="1296"/>
      <c r="Z176" s="1296"/>
      <c r="AA176" s="1296"/>
      <c r="AB176" s="438" t="s">
        <v>1249</v>
      </c>
      <c r="AC176" s="439"/>
      <c r="AD176" s="259"/>
      <c r="AE176" s="244"/>
      <c r="AF176" s="601" t="str">
        <f>IF(OR($AG$48="本票ⅡⅢ回答必要",$AG$48="本票ⅠⅡⅢ回答必要"),"",
IF(R176="","←未記入です。（0円の場合は「0」を入力してください。）",""))</f>
        <v>←未記入です。（0円の場合は「0」を入力してください。）</v>
      </c>
      <c r="AG176" s="424"/>
      <c r="AH176" s="406"/>
      <c r="AI176" s="406"/>
      <c r="AJ176" s="406"/>
      <c r="AK176" s="407"/>
      <c r="AL176" s="406"/>
      <c r="AM176" s="406"/>
      <c r="AN176" s="406"/>
      <c r="AO176" s="39"/>
      <c r="AP176" s="39"/>
      <c r="AQ176" s="39"/>
      <c r="AR176" s="39"/>
      <c r="AS176" s="39"/>
      <c r="AT176" s="39"/>
      <c r="AU176" s="39"/>
      <c r="AV176" s="39"/>
      <c r="AW176" s="39"/>
      <c r="AX176" s="39"/>
      <c r="AY176" s="39"/>
      <c r="AZ176" s="39"/>
      <c r="BA176" s="39"/>
      <c r="BB176" s="39"/>
    </row>
    <row r="177" spans="1:54" s="42" customFormat="1" ht="16.5" customHeight="1">
      <c r="A177" s="1591"/>
      <c r="B177" s="1590"/>
      <c r="C177" s="45"/>
      <c r="D177" s="46"/>
      <c r="E177" s="1242" t="s">
        <v>379</v>
      </c>
      <c r="F177" s="1242"/>
      <c r="G177" s="1242"/>
      <c r="H177" s="1242"/>
      <c r="I177" s="1242"/>
      <c r="J177" s="1242"/>
      <c r="K177" s="1242"/>
      <c r="L177" s="1242"/>
      <c r="M177" s="1242"/>
      <c r="N177" s="1242"/>
      <c r="O177" s="1242"/>
      <c r="P177" s="1242"/>
      <c r="Q177" s="1243"/>
      <c r="R177" s="1295"/>
      <c r="S177" s="1296"/>
      <c r="T177" s="1296"/>
      <c r="U177" s="1296"/>
      <c r="V177" s="1296"/>
      <c r="W177" s="1296"/>
      <c r="X177" s="1296"/>
      <c r="Y177" s="1296"/>
      <c r="Z177" s="1296"/>
      <c r="AA177" s="1296"/>
      <c r="AB177" s="440" t="s">
        <v>1249</v>
      </c>
      <c r="AC177" s="441"/>
      <c r="AD177" s="259"/>
      <c r="AE177" s="244"/>
      <c r="AF177" s="601" t="str">
        <f>IF(OR($AG$48="本票ⅡⅢ回答必要",$AG$48="本票ⅠⅡⅢ回答必要"),"",
IF(R177="","←未記入です。（0円の場合は「0」を入力してください。）",""))</f>
        <v>←未記入です。（0円の場合は「0」を入力してください。）</v>
      </c>
      <c r="AG177" s="424"/>
      <c r="AH177" s="406"/>
      <c r="AI177" s="406"/>
      <c r="AJ177" s="406"/>
      <c r="AK177" s="407"/>
      <c r="AL177" s="406"/>
      <c r="AM177" s="406"/>
      <c r="AN177" s="406"/>
      <c r="AO177" s="39"/>
      <c r="AP177" s="39"/>
      <c r="AQ177" s="39"/>
      <c r="AR177" s="39"/>
      <c r="AS177" s="39"/>
      <c r="AT177" s="39"/>
      <c r="AU177" s="39"/>
      <c r="AV177" s="39"/>
      <c r="AW177" s="39"/>
      <c r="AX177" s="39"/>
      <c r="AY177" s="39"/>
      <c r="AZ177" s="39"/>
      <c r="BA177" s="39"/>
      <c r="BB177" s="39"/>
    </row>
    <row r="178" spans="1:54" s="42" customFormat="1" ht="16.5" customHeight="1">
      <c r="A178" s="1592"/>
      <c r="B178" s="1593"/>
      <c r="C178" s="1581" t="s">
        <v>37</v>
      </c>
      <c r="D178" s="1582"/>
      <c r="E178" s="1582"/>
      <c r="F178" s="1582"/>
      <c r="G178" s="1582"/>
      <c r="H178" s="1582"/>
      <c r="I178" s="1582"/>
      <c r="J178" s="1582"/>
      <c r="K178" s="1582"/>
      <c r="L178" s="1582"/>
      <c r="M178" s="1582"/>
      <c r="N178" s="1582">
        <f>N176-N177</f>
        <v>0</v>
      </c>
      <c r="O178" s="1582"/>
      <c r="P178" s="1582"/>
      <c r="Q178" s="1583"/>
      <c r="R178" s="1594">
        <f>R176-R177</f>
        <v>0</v>
      </c>
      <c r="S178" s="1595"/>
      <c r="T178" s="1595"/>
      <c r="U178" s="1595"/>
      <c r="V178" s="1595"/>
      <c r="W178" s="1595"/>
      <c r="X178" s="1595"/>
      <c r="Y178" s="1595"/>
      <c r="Z178" s="1595"/>
      <c r="AA178" s="1595"/>
      <c r="AB178" s="442" t="s">
        <v>1249</v>
      </c>
      <c r="AC178" s="443"/>
      <c r="AD178" s="259"/>
      <c r="AE178" s="244"/>
      <c r="AF178" s="601"/>
      <c r="AG178" s="424"/>
      <c r="AH178" s="406"/>
      <c r="AI178" s="406"/>
      <c r="AJ178" s="406"/>
      <c r="AK178" s="407"/>
      <c r="AL178" s="406"/>
      <c r="AM178" s="406"/>
      <c r="AN178" s="406"/>
      <c r="AO178" s="39"/>
      <c r="AP178" s="39"/>
      <c r="AQ178" s="39"/>
      <c r="AR178" s="39"/>
      <c r="AS178" s="39"/>
      <c r="AT178" s="39"/>
      <c r="AU178" s="39"/>
      <c r="AV178" s="39"/>
      <c r="AW178" s="39"/>
      <c r="AX178" s="39"/>
      <c r="AY178" s="39"/>
      <c r="AZ178" s="39"/>
      <c r="BA178" s="39"/>
      <c r="BB178" s="39"/>
    </row>
    <row r="179" spans="1:54" s="39" customFormat="1" ht="16.5" customHeight="1">
      <c r="A179" s="1566" t="s">
        <v>38</v>
      </c>
      <c r="B179" s="1567"/>
      <c r="C179" s="209"/>
      <c r="D179" s="210"/>
      <c r="E179" s="1293" t="s">
        <v>380</v>
      </c>
      <c r="F179" s="1293"/>
      <c r="G179" s="1293"/>
      <c r="H179" s="1293"/>
      <c r="I179" s="1293"/>
      <c r="J179" s="1293"/>
      <c r="K179" s="1293"/>
      <c r="L179" s="1293"/>
      <c r="M179" s="1293"/>
      <c r="N179" s="1293"/>
      <c r="O179" s="1293"/>
      <c r="P179" s="1293"/>
      <c r="Q179" s="1294"/>
      <c r="R179" s="1295"/>
      <c r="S179" s="1296"/>
      <c r="T179" s="1296"/>
      <c r="U179" s="1296"/>
      <c r="V179" s="1296"/>
      <c r="W179" s="1296"/>
      <c r="X179" s="1296"/>
      <c r="Y179" s="1296"/>
      <c r="Z179" s="1296"/>
      <c r="AA179" s="1296"/>
      <c r="AB179" s="438" t="s">
        <v>1249</v>
      </c>
      <c r="AC179" s="439"/>
      <c r="AD179" s="259"/>
      <c r="AE179" s="244"/>
      <c r="AF179" s="601" t="str">
        <f>IF(OR($AG$48="本票ⅡⅢ回答必要",$AG$48="本票ⅠⅡⅢ回答必要"),"",
IF(R179="","←未記入です。（0円の場合は「0」を入力してください。",""))</f>
        <v>←未記入です。（0円の場合は「0」を入力してください。</v>
      </c>
      <c r="AG179" s="424"/>
      <c r="AH179" s="406"/>
      <c r="AI179" s="406"/>
      <c r="AJ179" s="406"/>
      <c r="AK179" s="407"/>
      <c r="AL179" s="406"/>
      <c r="AM179" s="406"/>
      <c r="AN179" s="406"/>
    </row>
    <row r="180" spans="1:54" s="39" customFormat="1" ht="16.5" customHeight="1">
      <c r="A180" s="1568"/>
      <c r="B180" s="1569"/>
      <c r="C180" s="212"/>
      <c r="D180" s="211"/>
      <c r="E180" s="1572" t="s">
        <v>381</v>
      </c>
      <c r="F180" s="1573"/>
      <c r="G180" s="1573"/>
      <c r="H180" s="1573"/>
      <c r="I180" s="1573"/>
      <c r="J180" s="1573"/>
      <c r="K180" s="1573"/>
      <c r="L180" s="1573"/>
      <c r="M180" s="1573"/>
      <c r="N180" s="1573"/>
      <c r="O180" s="1573"/>
      <c r="P180" s="1573"/>
      <c r="Q180" s="1574"/>
      <c r="R180" s="444" t="s">
        <v>1451</v>
      </c>
      <c r="S180" s="1296"/>
      <c r="T180" s="1296"/>
      <c r="U180" s="1296"/>
      <c r="V180" s="1296"/>
      <c r="W180" s="1296"/>
      <c r="X180" s="1296"/>
      <c r="Y180" s="1296"/>
      <c r="Z180" s="1296"/>
      <c r="AA180" s="1296"/>
      <c r="AB180" s="440" t="s">
        <v>1247</v>
      </c>
      <c r="AC180" s="441"/>
      <c r="AD180" s="1578" t="s">
        <v>382</v>
      </c>
      <c r="AE180" s="1579"/>
      <c r="AF180" s="601" t="str">
        <f>IF(OR($AG$48="本票ⅡⅢ回答必要",$AG$48="本票ⅠⅡⅢ回答必要"),"",
IF(S180="","←未記入です。（0円の場合は「0」を入力してください。）",
IF(R179&lt;S180,"←「うち施設設備補助金」が「特別収入計（資産売却差額、設備寄付等）」を上回っています。","")))</f>
        <v>←未記入です。（0円の場合は「0」を入力してください。）</v>
      </c>
      <c r="AG180" s="1"/>
      <c r="AH180" s="406"/>
      <c r="AI180" s="406"/>
      <c r="AJ180" s="406"/>
      <c r="AK180" s="407"/>
      <c r="AL180" s="406"/>
      <c r="AM180" s="406"/>
      <c r="AN180" s="406"/>
    </row>
    <row r="181" spans="1:54" s="39" customFormat="1" ht="16.5" customHeight="1">
      <c r="A181" s="1568"/>
      <c r="B181" s="1569"/>
      <c r="C181" s="213"/>
      <c r="D181" s="214"/>
      <c r="E181" s="1308" t="s">
        <v>1261</v>
      </c>
      <c r="F181" s="1308"/>
      <c r="G181" s="1308"/>
      <c r="H181" s="1308"/>
      <c r="I181" s="1308"/>
      <c r="J181" s="1308"/>
      <c r="K181" s="1308"/>
      <c r="L181" s="1308"/>
      <c r="M181" s="1308"/>
      <c r="N181" s="1308"/>
      <c r="O181" s="1308"/>
      <c r="P181" s="1308"/>
      <c r="Q181" s="1309"/>
      <c r="R181" s="1295"/>
      <c r="S181" s="1296"/>
      <c r="T181" s="1296"/>
      <c r="U181" s="1296"/>
      <c r="V181" s="1296"/>
      <c r="W181" s="1296"/>
      <c r="X181" s="1296"/>
      <c r="Y181" s="1296"/>
      <c r="Z181" s="1296"/>
      <c r="AA181" s="1296"/>
      <c r="AB181" s="440" t="s">
        <v>1249</v>
      </c>
      <c r="AC181" s="441"/>
      <c r="AD181" s="1580"/>
      <c r="AE181" s="1579"/>
      <c r="AF181" s="601" t="str">
        <f>IF(OR($AG$48="本票ⅡⅢ回答必要",$AG$48="本票ⅠⅡⅢ回答必要"),"",
IF(R181="","←未記入です。（0円の場合は「0」を入力してください。）",""))</f>
        <v>←未記入です。（0円の場合は「0」を入力してください。）</v>
      </c>
      <c r="AG181" s="424"/>
      <c r="AH181" s="406"/>
      <c r="AI181" s="406"/>
      <c r="AJ181" s="406"/>
      <c r="AK181" s="407"/>
      <c r="AL181" s="406"/>
      <c r="AM181" s="406"/>
      <c r="AN181" s="406"/>
    </row>
    <row r="182" spans="1:54" s="39" customFormat="1" ht="16.5" customHeight="1">
      <c r="A182" s="1570"/>
      <c r="B182" s="1571"/>
      <c r="C182" s="1581" t="s">
        <v>39</v>
      </c>
      <c r="D182" s="1582"/>
      <c r="E182" s="1582"/>
      <c r="F182" s="1582"/>
      <c r="G182" s="1582"/>
      <c r="H182" s="1582"/>
      <c r="I182" s="1582"/>
      <c r="J182" s="1582"/>
      <c r="K182" s="1582"/>
      <c r="L182" s="1582"/>
      <c r="M182" s="1582"/>
      <c r="N182" s="1582"/>
      <c r="O182" s="1582"/>
      <c r="P182" s="1582"/>
      <c r="Q182" s="1583"/>
      <c r="R182" s="1584">
        <f>R179-R181</f>
        <v>0</v>
      </c>
      <c r="S182" s="1585"/>
      <c r="T182" s="1585"/>
      <c r="U182" s="1585"/>
      <c r="V182" s="1585"/>
      <c r="W182" s="1585"/>
      <c r="X182" s="1585"/>
      <c r="Y182" s="1585"/>
      <c r="Z182" s="1585"/>
      <c r="AA182" s="1585"/>
      <c r="AB182" s="430" t="s">
        <v>1249</v>
      </c>
      <c r="AC182" s="431"/>
      <c r="AD182" s="1580"/>
      <c r="AE182" s="1579"/>
      <c r="AF182" s="601"/>
      <c r="AG182" s="424"/>
      <c r="AH182" s="406"/>
      <c r="AI182" s="406"/>
      <c r="AJ182" s="406"/>
      <c r="AK182" s="407"/>
      <c r="AL182" s="406"/>
      <c r="AM182" s="406"/>
      <c r="AN182" s="406"/>
    </row>
    <row r="183" spans="1:54" s="39" customFormat="1" ht="16.5" customHeight="1">
      <c r="A183" s="1586" t="s">
        <v>40</v>
      </c>
      <c r="B183" s="1587"/>
      <c r="C183" s="1587"/>
      <c r="D183" s="1587"/>
      <c r="E183" s="1587"/>
      <c r="F183" s="1587"/>
      <c r="G183" s="1587"/>
      <c r="H183" s="1587"/>
      <c r="I183" s="1587"/>
      <c r="J183" s="1587"/>
      <c r="K183" s="1587"/>
      <c r="L183" s="1587"/>
      <c r="M183" s="1587"/>
      <c r="N183" s="1587"/>
      <c r="O183" s="1587"/>
      <c r="P183" s="1587"/>
      <c r="Q183" s="1588"/>
      <c r="R183" s="1285">
        <f>R187-R188</f>
        <v>0</v>
      </c>
      <c r="S183" s="1286"/>
      <c r="T183" s="1286"/>
      <c r="U183" s="1286"/>
      <c r="V183" s="1286"/>
      <c r="W183" s="1286"/>
      <c r="X183" s="1286"/>
      <c r="Y183" s="1286"/>
      <c r="Z183" s="1286"/>
      <c r="AA183" s="1286"/>
      <c r="AB183" s="430" t="s">
        <v>1249</v>
      </c>
      <c r="AC183" s="431"/>
      <c r="AD183" s="1580"/>
      <c r="AE183" s="1579"/>
      <c r="AF183" s="601"/>
      <c r="AG183" s="424"/>
      <c r="AH183" s="406"/>
      <c r="AI183" s="406"/>
      <c r="AJ183" s="406"/>
      <c r="AK183" s="407"/>
      <c r="AL183" s="406"/>
      <c r="AM183" s="406"/>
      <c r="AN183" s="406"/>
    </row>
    <row r="184" spans="1:54" s="39" customFormat="1" ht="16.5" customHeight="1">
      <c r="A184" s="1586" t="s">
        <v>41</v>
      </c>
      <c r="B184" s="1587"/>
      <c r="C184" s="1587"/>
      <c r="D184" s="1587"/>
      <c r="E184" s="1587"/>
      <c r="F184" s="1587"/>
      <c r="G184" s="1587"/>
      <c r="H184" s="1587"/>
      <c r="I184" s="1587"/>
      <c r="J184" s="1587"/>
      <c r="K184" s="1587"/>
      <c r="L184" s="1587"/>
      <c r="M184" s="1587"/>
      <c r="N184" s="1587"/>
      <c r="O184" s="1587"/>
      <c r="P184" s="1587"/>
      <c r="Q184" s="1588"/>
      <c r="R184" s="1295"/>
      <c r="S184" s="1296"/>
      <c r="T184" s="1296"/>
      <c r="U184" s="1296"/>
      <c r="V184" s="1296"/>
      <c r="W184" s="1296"/>
      <c r="X184" s="1296"/>
      <c r="Y184" s="1296"/>
      <c r="Z184" s="1296"/>
      <c r="AA184" s="1296"/>
      <c r="AB184" s="438" t="s">
        <v>1249</v>
      </c>
      <c r="AC184" s="439"/>
      <c r="AD184" s="1580"/>
      <c r="AE184" s="1579"/>
      <c r="AF184" s="601" t="str">
        <f>IF(OR($AG$48="本票ⅡⅢ回答必要",$AG$48="本票ⅠⅡⅢ回答必要"),"",
IF(R184="","←基本金繰入額合計が未記入です。（0円の場合は「0」を入力してください。）",
IF(R184&gt;0,"←基本金組入額合計がプラスになっています。（プラスで良い場合は無視してください。）","")))</f>
        <v>←基本金繰入額合計が未記入です。（0円の場合は「0」を入力してください。）</v>
      </c>
      <c r="AG184" s="424"/>
      <c r="AH184" s="406"/>
      <c r="AI184" s="406"/>
      <c r="AJ184" s="406"/>
      <c r="AK184" s="407"/>
      <c r="AL184" s="406"/>
      <c r="AM184" s="406"/>
      <c r="AN184" s="406"/>
    </row>
    <row r="185" spans="1:54" s="39" customFormat="1" ht="16.5" customHeight="1" thickBot="1">
      <c r="A185" s="1563" t="s">
        <v>42</v>
      </c>
      <c r="B185" s="1564"/>
      <c r="C185" s="1564"/>
      <c r="D185" s="1564"/>
      <c r="E185" s="1564"/>
      <c r="F185" s="1564"/>
      <c r="G185" s="1564"/>
      <c r="H185" s="1564"/>
      <c r="I185" s="1564"/>
      <c r="J185" s="1564"/>
      <c r="K185" s="1564"/>
      <c r="L185" s="1564"/>
      <c r="M185" s="1564"/>
      <c r="N185" s="1564"/>
      <c r="O185" s="1564"/>
      <c r="P185" s="1564"/>
      <c r="Q185" s="1565"/>
      <c r="R185" s="1455">
        <f>R183+R184</f>
        <v>0</v>
      </c>
      <c r="S185" s="1456"/>
      <c r="T185" s="1456"/>
      <c r="U185" s="1456"/>
      <c r="V185" s="1456"/>
      <c r="W185" s="1456"/>
      <c r="X185" s="1456"/>
      <c r="Y185" s="1456"/>
      <c r="Z185" s="1456"/>
      <c r="AA185" s="1456"/>
      <c r="AB185" s="445" t="s">
        <v>1249</v>
      </c>
      <c r="AC185" s="446"/>
      <c r="AD185" s="349"/>
      <c r="AE185" s="349"/>
      <c r="AF185" s="601"/>
      <c r="AG185" s="424"/>
      <c r="AH185" s="406"/>
      <c r="AI185" s="406"/>
      <c r="AJ185" s="406"/>
      <c r="AK185" s="407"/>
      <c r="AL185" s="406"/>
      <c r="AM185" s="406"/>
      <c r="AN185" s="406"/>
    </row>
    <row r="186" spans="1:54" s="49" customFormat="1" ht="15" customHeight="1" thickBot="1">
      <c r="A186" s="417" t="s">
        <v>1452</v>
      </c>
      <c r="B186" s="447"/>
      <c r="C186" s="417"/>
      <c r="D186" s="448"/>
      <c r="E186" s="448"/>
      <c r="F186" s="448"/>
      <c r="G186" s="448"/>
      <c r="H186" s="448"/>
      <c r="I186" s="448"/>
      <c r="J186" s="448"/>
      <c r="K186" s="448"/>
      <c r="L186" s="448"/>
      <c r="M186" s="449"/>
      <c r="N186" s="450"/>
      <c r="O186" s="450"/>
      <c r="P186" s="450"/>
      <c r="Q186" s="450"/>
      <c r="R186" s="450"/>
      <c r="S186" s="450"/>
      <c r="T186" s="450"/>
      <c r="U186" s="450"/>
      <c r="V186" s="451"/>
      <c r="W186" s="451"/>
      <c r="X186" s="452"/>
      <c r="Y186" s="452"/>
      <c r="Z186" s="453"/>
      <c r="AA186" s="453"/>
      <c r="AB186" s="453"/>
      <c r="AC186" s="453"/>
      <c r="AD186" s="349"/>
      <c r="AE186" s="349"/>
      <c r="AF186" s="601"/>
      <c r="AG186" s="424"/>
      <c r="AH186" s="454"/>
      <c r="AI186" s="454"/>
      <c r="AJ186" s="454"/>
      <c r="AK186" s="455"/>
      <c r="AL186" s="454"/>
      <c r="AM186" s="454"/>
      <c r="AN186" s="454"/>
    </row>
    <row r="187" spans="1:54" s="49" customFormat="1" ht="15" customHeight="1">
      <c r="A187" s="1457" t="s">
        <v>43</v>
      </c>
      <c r="B187" s="1458"/>
      <c r="C187" s="1458"/>
      <c r="D187" s="1458"/>
      <c r="E187" s="1458"/>
      <c r="F187" s="1458"/>
      <c r="G187" s="1458"/>
      <c r="H187" s="1458"/>
      <c r="I187" s="1458"/>
      <c r="J187" s="1458"/>
      <c r="K187" s="1458"/>
      <c r="L187" s="1458"/>
      <c r="M187" s="1458"/>
      <c r="N187" s="1458"/>
      <c r="O187" s="1458"/>
      <c r="P187" s="1458"/>
      <c r="Q187" s="1459"/>
      <c r="R187" s="1460">
        <f>R166+R176+R179</f>
        <v>0</v>
      </c>
      <c r="S187" s="1460"/>
      <c r="T187" s="1460"/>
      <c r="U187" s="1460"/>
      <c r="V187" s="1460"/>
      <c r="W187" s="1460"/>
      <c r="X187" s="1460"/>
      <c r="Y187" s="1460"/>
      <c r="Z187" s="1460"/>
      <c r="AA187" s="1460"/>
      <c r="AB187" s="1559" t="s">
        <v>1249</v>
      </c>
      <c r="AC187" s="1560"/>
      <c r="AD187" s="456"/>
      <c r="AE187" s="457"/>
      <c r="AF187" s="610"/>
      <c r="AG187" s="458"/>
      <c r="AH187" s="459"/>
      <c r="AI187" s="454"/>
      <c r="AJ187" s="454"/>
      <c r="AK187" s="455"/>
      <c r="AL187" s="454"/>
      <c r="AM187" s="454"/>
      <c r="AN187" s="454"/>
    </row>
    <row r="188" spans="1:54" s="49" customFormat="1" ht="15" customHeight="1" thickBot="1">
      <c r="A188" s="1463" t="s">
        <v>44</v>
      </c>
      <c r="B188" s="1464"/>
      <c r="C188" s="1464"/>
      <c r="D188" s="1464"/>
      <c r="E188" s="1464"/>
      <c r="F188" s="1464"/>
      <c r="G188" s="1464"/>
      <c r="H188" s="1464"/>
      <c r="I188" s="1464"/>
      <c r="J188" s="1464"/>
      <c r="K188" s="1464"/>
      <c r="L188" s="1464"/>
      <c r="M188" s="1464"/>
      <c r="N188" s="1464"/>
      <c r="O188" s="1464"/>
      <c r="P188" s="1464"/>
      <c r="Q188" s="1465"/>
      <c r="R188" s="1456">
        <f>R174+R177+R181</f>
        <v>0</v>
      </c>
      <c r="S188" s="1456"/>
      <c r="T188" s="1456"/>
      <c r="U188" s="1456"/>
      <c r="V188" s="1456"/>
      <c r="W188" s="1456"/>
      <c r="X188" s="1456"/>
      <c r="Y188" s="1456"/>
      <c r="Z188" s="1456"/>
      <c r="AA188" s="1456"/>
      <c r="AB188" s="1561" t="s">
        <v>1249</v>
      </c>
      <c r="AC188" s="1562"/>
      <c r="AD188" s="456"/>
      <c r="AE188" s="456"/>
      <c r="AF188" s="611"/>
      <c r="AG188" s="460"/>
      <c r="AH188" s="459"/>
      <c r="AI188" s="454"/>
      <c r="AJ188" s="454"/>
      <c r="AK188" s="455"/>
      <c r="AL188" s="454"/>
      <c r="AM188" s="454"/>
      <c r="AN188" s="454"/>
    </row>
    <row r="189" spans="1:54" s="39" customFormat="1" ht="6.95" customHeight="1">
      <c r="A189" s="1575"/>
      <c r="B189" s="1575"/>
      <c r="C189" s="1576"/>
      <c r="D189" s="1576"/>
      <c r="E189" s="1576"/>
      <c r="F189" s="1576"/>
      <c r="G189" s="1576"/>
      <c r="H189" s="1576"/>
      <c r="I189" s="1576"/>
      <c r="J189" s="1576"/>
      <c r="K189" s="1576"/>
      <c r="L189" s="1576"/>
      <c r="M189" s="1576"/>
      <c r="N189" s="1576"/>
      <c r="O189" s="1576"/>
      <c r="P189" s="1576"/>
      <c r="Q189" s="1576"/>
      <c r="R189" s="1576"/>
      <c r="S189" s="1576"/>
      <c r="T189" s="1576"/>
      <c r="U189" s="1576"/>
      <c r="V189" s="1576"/>
      <c r="W189" s="1576"/>
      <c r="X189" s="1577"/>
      <c r="Y189" s="1577"/>
      <c r="Z189" s="1577"/>
      <c r="AA189" s="1577"/>
      <c r="AB189" s="1577"/>
      <c r="AC189" s="1577"/>
      <c r="AD189" s="1577"/>
      <c r="AE189" s="1577"/>
      <c r="AF189" s="601"/>
    </row>
    <row r="190" spans="1:54" s="39" customFormat="1" ht="20.100000000000001" customHeight="1">
      <c r="A190" s="1553" t="s">
        <v>1287</v>
      </c>
      <c r="B190" s="1553"/>
      <c r="C190" s="1553"/>
      <c r="D190" s="1553"/>
      <c r="E190" s="1553"/>
      <c r="F190" s="1553"/>
      <c r="G190" s="1553"/>
      <c r="H190" s="1553"/>
      <c r="I190" s="1553"/>
      <c r="J190" s="1553"/>
      <c r="K190" s="1553"/>
      <c r="L190" s="1553"/>
      <c r="M190" s="1553"/>
      <c r="N190" s="1553"/>
      <c r="O190" s="1553"/>
      <c r="P190" s="1553"/>
      <c r="Q190" s="1554"/>
      <c r="R190" s="1442" t="str">
        <f>IF(W55&gt;0,R160/W55,"")</f>
        <v/>
      </c>
      <c r="S190" s="1445"/>
      <c r="T190" s="1445"/>
      <c r="U190" s="1445"/>
      <c r="V190" s="1445"/>
      <c r="W190" s="1445"/>
      <c r="X190" s="1445"/>
      <c r="Y190" s="1445"/>
      <c r="Z190" s="1445"/>
      <c r="AA190" s="1445"/>
      <c r="AB190" s="1555" t="s">
        <v>1213</v>
      </c>
      <c r="AC190" s="1556"/>
      <c r="AD190" s="419"/>
      <c r="AE190" s="419"/>
      <c r="AF190" s="601" t="str">
        <f>IF(OR($AG$48="本票ⅡⅢ回答必要",$AG$48="本票ⅠⅡⅢ回答必要"),"",
IF(AND(R190&lt;&gt;"",R190&gt;=3000000),"←生徒一人当たり学納金が300万円以上です。問題なければ構いません。",
IF(AND(R190&lt;&gt;"",R190&lt;300000),"←生徒一人当たり学納金が30万円未満です。問題なければ構いません。","")))</f>
        <v/>
      </c>
    </row>
    <row r="191" spans="1:54" s="39" customFormat="1" ht="30" customHeight="1">
      <c r="A191" s="1557" t="s">
        <v>1288</v>
      </c>
      <c r="B191" s="1558"/>
      <c r="C191" s="1558"/>
      <c r="D191" s="1558"/>
      <c r="E191" s="1558"/>
      <c r="F191" s="1558"/>
      <c r="G191" s="1558"/>
      <c r="H191" s="1558"/>
      <c r="I191" s="1558"/>
      <c r="J191" s="1558"/>
      <c r="K191" s="1558"/>
      <c r="L191" s="1558"/>
      <c r="M191" s="1558"/>
      <c r="N191" s="1558"/>
      <c r="O191" s="1558"/>
      <c r="P191" s="1558"/>
      <c r="Q191" s="1558"/>
      <c r="R191" s="1558"/>
      <c r="S191" s="1558"/>
      <c r="T191" s="1558"/>
      <c r="U191" s="1558"/>
      <c r="V191" s="1558"/>
      <c r="W191" s="1558"/>
      <c r="X191" s="1558"/>
      <c r="Y191" s="1558"/>
      <c r="Z191" s="1558"/>
      <c r="AA191" s="1558"/>
      <c r="AB191" s="1558"/>
      <c r="AC191" s="1558"/>
      <c r="AD191" s="1558"/>
      <c r="AE191" s="1558"/>
      <c r="AF191" s="601"/>
    </row>
    <row r="192" spans="1:54" s="2" customFormat="1" ht="5.2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604"/>
      <c r="AG192" s="262"/>
      <c r="AH192" s="354"/>
      <c r="AI192" s="354"/>
      <c r="AJ192" s="354"/>
      <c r="AK192" s="355"/>
      <c r="AL192" s="354"/>
      <c r="AM192" s="354"/>
      <c r="AN192" s="354"/>
    </row>
    <row r="193" spans="1:43" s="2" customFormat="1" ht="27" customHeight="1">
      <c r="A193" s="8"/>
      <c r="B193" s="8"/>
      <c r="C193" s="8"/>
      <c r="D193" s="8"/>
      <c r="E193" s="8"/>
      <c r="F193" s="8"/>
      <c r="G193" s="8"/>
      <c r="H193" s="1278" t="s">
        <v>1453</v>
      </c>
      <c r="I193" s="1278"/>
      <c r="J193" s="1278"/>
      <c r="K193" s="1278"/>
      <c r="L193" s="1278"/>
      <c r="M193" s="1278"/>
      <c r="N193" s="1278"/>
      <c r="O193" s="1278"/>
      <c r="P193" s="1278"/>
      <c r="Q193" s="1278"/>
      <c r="R193" s="1278"/>
      <c r="S193" s="1278"/>
      <c r="T193" s="1278"/>
      <c r="U193" s="1278"/>
      <c r="V193" s="1278"/>
      <c r="W193" s="1278"/>
      <c r="X193" s="1278"/>
      <c r="Y193" s="8"/>
      <c r="Z193" s="8"/>
      <c r="AA193" s="1279"/>
      <c r="AB193" s="1279"/>
      <c r="AC193" s="1279"/>
      <c r="AD193" s="1279"/>
      <c r="AE193" s="1279"/>
      <c r="AF193" s="604"/>
      <c r="AG193" s="262"/>
      <c r="AH193" s="354"/>
      <c r="AI193" s="354"/>
      <c r="AJ193" s="354"/>
      <c r="AK193" s="355"/>
      <c r="AL193" s="354"/>
      <c r="AM193" s="354"/>
      <c r="AN193" s="354"/>
    </row>
    <row r="194" spans="1:43" s="2" customFormat="1" ht="1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1535"/>
      <c r="AB194" s="1535"/>
      <c r="AC194" s="1535"/>
      <c r="AD194" s="1535"/>
      <c r="AE194" s="1535"/>
      <c r="AF194" s="604"/>
      <c r="AG194" s="262"/>
      <c r="AH194" s="354"/>
      <c r="AI194" s="354"/>
      <c r="AJ194" s="354"/>
      <c r="AK194" s="355"/>
      <c r="AL194" s="354"/>
      <c r="AM194" s="354"/>
      <c r="AN194" s="354"/>
    </row>
    <row r="195" spans="1:43" s="2" customFormat="1" ht="15" customHeight="1">
      <c r="A195" s="1316" t="s">
        <v>1454</v>
      </c>
      <c r="B195" s="1316"/>
      <c r="C195" s="1316"/>
      <c r="D195" s="1316"/>
      <c r="E195" s="1316"/>
      <c r="F195" s="1316"/>
      <c r="G195" s="1316"/>
      <c r="H195" s="1536"/>
      <c r="I195" s="1536"/>
      <c r="J195" s="1536"/>
      <c r="K195" s="1536"/>
      <c r="L195" s="1536"/>
      <c r="M195" s="1536"/>
      <c r="N195" s="1536"/>
      <c r="O195" s="1536"/>
      <c r="P195" s="1536"/>
      <c r="Q195" s="1536"/>
      <c r="R195" s="1536"/>
      <c r="S195" s="1536"/>
      <c r="T195" s="1536"/>
      <c r="U195" s="1536"/>
      <c r="V195" s="1536"/>
      <c r="W195" s="1536"/>
      <c r="X195" s="1536"/>
      <c r="Y195" s="1536"/>
      <c r="Z195" s="1536"/>
      <c r="AA195" s="1536"/>
      <c r="AB195" s="1536"/>
      <c r="AC195" s="1536"/>
      <c r="AD195" s="1536"/>
      <c r="AE195" s="1536"/>
      <c r="AF195" s="239"/>
      <c r="AG195" s="262"/>
      <c r="AH195" s="354"/>
      <c r="AI195" s="354"/>
      <c r="AJ195" s="354"/>
      <c r="AK195" s="355"/>
      <c r="AL195" s="354"/>
      <c r="AM195" s="354"/>
      <c r="AN195" s="354"/>
    </row>
    <row r="196" spans="1:43" s="2" customFormat="1" ht="14.25" customHeight="1">
      <c r="A196" s="1537" t="s">
        <v>1455</v>
      </c>
      <c r="B196" s="1538"/>
      <c r="C196" s="1538"/>
      <c r="D196" s="1538"/>
      <c r="E196" s="1538"/>
      <c r="F196" s="1538"/>
      <c r="G196" s="1538"/>
      <c r="H196" s="461"/>
      <c r="I196" s="461"/>
      <c r="J196" s="461"/>
      <c r="K196" s="461"/>
      <c r="L196" s="461"/>
      <c r="M196" s="461"/>
      <c r="N196" s="461"/>
      <c r="O196" s="461"/>
      <c r="P196" s="461"/>
      <c r="Q196" s="461"/>
      <c r="R196" s="461"/>
      <c r="S196" s="461"/>
      <c r="T196" s="461"/>
      <c r="U196" s="461"/>
      <c r="V196" s="461"/>
      <c r="W196" s="461"/>
      <c r="X196" s="461"/>
      <c r="Y196" s="461"/>
      <c r="Z196" s="461"/>
      <c r="AA196" s="461"/>
      <c r="AB196" s="462"/>
      <c r="AC196" s="1539" t="s">
        <v>1456</v>
      </c>
      <c r="AD196" s="1540"/>
      <c r="AE196" s="1541"/>
      <c r="AF196" s="606"/>
      <c r="AG196" s="262"/>
      <c r="AH196" s="354"/>
      <c r="AI196" s="354"/>
      <c r="AJ196" s="354"/>
      <c r="AK196" s="355"/>
      <c r="AL196" s="354"/>
      <c r="AM196" s="354"/>
      <c r="AN196" s="354"/>
    </row>
    <row r="197" spans="1:43" s="2" customFormat="1" ht="15" customHeight="1">
      <c r="A197" s="1545" t="s">
        <v>1457</v>
      </c>
      <c r="B197" s="1546"/>
      <c r="C197" s="1546"/>
      <c r="D197" s="1546"/>
      <c r="E197" s="1547" t="s">
        <v>1458</v>
      </c>
      <c r="F197" s="1546"/>
      <c r="G197" s="1548"/>
      <c r="H197" s="1549" t="s">
        <v>1459</v>
      </c>
      <c r="I197" s="1550"/>
      <c r="J197" s="1550"/>
      <c r="K197" s="1550"/>
      <c r="L197" s="1550"/>
      <c r="M197" s="1550"/>
      <c r="N197" s="1550"/>
      <c r="O197" s="1550"/>
      <c r="P197" s="1550"/>
      <c r="Q197" s="1550"/>
      <c r="R197" s="1550"/>
      <c r="S197" s="1550"/>
      <c r="T197" s="1550"/>
      <c r="U197" s="1550"/>
      <c r="V197" s="1550"/>
      <c r="W197" s="1550"/>
      <c r="X197" s="1550"/>
      <c r="Y197" s="1550"/>
      <c r="Z197" s="1551"/>
      <c r="AA197" s="1551"/>
      <c r="AB197" s="1552"/>
      <c r="AC197" s="1542"/>
      <c r="AD197" s="1543"/>
      <c r="AE197" s="1544"/>
      <c r="AF197" s="239"/>
      <c r="AG197" s="262"/>
      <c r="AH197" s="354"/>
      <c r="AI197" s="354"/>
      <c r="AJ197" s="354"/>
      <c r="AK197" s="355"/>
      <c r="AL197" s="354"/>
      <c r="AM197" s="354"/>
      <c r="AN197" s="354"/>
    </row>
    <row r="198" spans="1:43" s="2" customFormat="1" ht="35.1" customHeight="1" thickBot="1">
      <c r="A198" s="1545"/>
      <c r="B198" s="1546"/>
      <c r="C198" s="1546"/>
      <c r="D198" s="1546"/>
      <c r="E198" s="1547"/>
      <c r="F198" s="1546"/>
      <c r="G198" s="1548"/>
      <c r="H198" s="1529" t="s">
        <v>1460</v>
      </c>
      <c r="I198" s="1530"/>
      <c r="J198" s="1531"/>
      <c r="K198" s="1529" t="s">
        <v>47</v>
      </c>
      <c r="L198" s="1530"/>
      <c r="M198" s="1531"/>
      <c r="N198" s="1529" t="s">
        <v>1461</v>
      </c>
      <c r="O198" s="1530"/>
      <c r="P198" s="1531"/>
      <c r="Q198" s="1529" t="s">
        <v>48</v>
      </c>
      <c r="R198" s="1530"/>
      <c r="S198" s="1531"/>
      <c r="T198" s="1529" t="s">
        <v>1462</v>
      </c>
      <c r="U198" s="1530"/>
      <c r="V198" s="1531"/>
      <c r="W198" s="1532" t="s">
        <v>1463</v>
      </c>
      <c r="X198" s="1533"/>
      <c r="Y198" s="1534"/>
      <c r="Z198" s="1520" t="s">
        <v>1464</v>
      </c>
      <c r="AA198" s="1520"/>
      <c r="AB198" s="1521"/>
      <c r="AC198" s="1542"/>
      <c r="AD198" s="1543"/>
      <c r="AE198" s="1544"/>
      <c r="AF198" s="239"/>
      <c r="AG198" s="262"/>
      <c r="AH198" s="354"/>
      <c r="AI198" s="354"/>
      <c r="AJ198" s="354"/>
      <c r="AK198" s="355"/>
      <c r="AL198" s="354"/>
      <c r="AM198" s="354"/>
      <c r="AN198" s="354"/>
    </row>
    <row r="199" spans="1:43" s="2" customFormat="1" ht="29.25" customHeight="1" thickBot="1">
      <c r="A199" s="997"/>
      <c r="B199" s="1522"/>
      <c r="C199" s="1512"/>
      <c r="D199" s="463" t="s">
        <v>17</v>
      </c>
      <c r="E199" s="1523"/>
      <c r="F199" s="1524"/>
      <c r="G199" s="463" t="s">
        <v>17</v>
      </c>
      <c r="H199" s="1525"/>
      <c r="I199" s="1526"/>
      <c r="J199" s="464" t="s">
        <v>17</v>
      </c>
      <c r="K199" s="1525"/>
      <c r="L199" s="1526"/>
      <c r="M199" s="464" t="s">
        <v>17</v>
      </c>
      <c r="N199" s="1525"/>
      <c r="O199" s="1526"/>
      <c r="P199" s="464" t="s">
        <v>17</v>
      </c>
      <c r="Q199" s="1525"/>
      <c r="R199" s="1526"/>
      <c r="S199" s="464" t="s">
        <v>17</v>
      </c>
      <c r="T199" s="1525"/>
      <c r="U199" s="1526"/>
      <c r="V199" s="464" t="s">
        <v>17</v>
      </c>
      <c r="W199" s="1525"/>
      <c r="X199" s="1526"/>
      <c r="Y199" s="465"/>
      <c r="Z199" s="1527">
        <f>H199+K199+N199+Q199+T199+W199</f>
        <v>0</v>
      </c>
      <c r="AA199" s="1528"/>
      <c r="AB199" s="466" t="s">
        <v>17</v>
      </c>
      <c r="AC199" s="997"/>
      <c r="AD199" s="1512"/>
      <c r="AE199" s="467" t="s">
        <v>372</v>
      </c>
      <c r="AF199" s="606" t="str">
        <f>IF(A199="","←4月1日時点での在籍生徒数が未記入です。",
IF(E199="","←年度途中の入学者が未記入です",
IF(OR(H199="",K199="",N199="",Q199="",T199="",W199=""),"←中途退学者等（A）の内訳が未記入です。該当者がいない場合は「0」と記入してください",
IF(Z199&gt;SUM(A199,E199),"←(A)が「４月１日現在在籍生徒数」と「年度途中入学者数」の合計を上回っています。",
IF(AC199="","←全日制高校への転編入者数が未記入です。該当者がいない場合は「0」と記入してください。",
IF(AC199&gt;Z199,"←「全日制高校への転編入者数」が(A)を上回っています。",
""))))))</f>
        <v>←4月1日時点での在籍生徒数が未記入です。</v>
      </c>
      <c r="AG199" s="262"/>
      <c r="AH199" s="354"/>
      <c r="AI199" s="354"/>
      <c r="AJ199" s="354"/>
      <c r="AK199" s="355"/>
      <c r="AL199" s="354"/>
      <c r="AM199" s="354"/>
      <c r="AN199" s="354"/>
    </row>
    <row r="202" spans="1:43" s="42" customFormat="1" ht="4.5" customHeight="1">
      <c r="A202" s="468"/>
      <c r="B202" s="468"/>
      <c r="C202" s="468"/>
      <c r="D202" s="468"/>
      <c r="E202" s="468"/>
      <c r="F202" s="468"/>
      <c r="G202" s="468"/>
      <c r="H202" s="468"/>
      <c r="I202" s="468"/>
      <c r="J202" s="468"/>
      <c r="K202" s="468"/>
      <c r="L202" s="468"/>
      <c r="M202" s="468"/>
      <c r="N202" s="468"/>
      <c r="O202" s="468"/>
      <c r="P202" s="468"/>
      <c r="Q202" s="468"/>
      <c r="R202" s="468"/>
      <c r="S202" s="468"/>
      <c r="T202" s="468"/>
      <c r="U202" s="468"/>
      <c r="V202" s="468"/>
      <c r="W202" s="468"/>
      <c r="X202" s="468"/>
      <c r="Y202" s="468"/>
      <c r="Z202" s="468"/>
      <c r="AA202" s="468"/>
      <c r="AB202" s="468"/>
      <c r="AC202" s="468"/>
      <c r="AD202" s="468"/>
      <c r="AE202" s="468"/>
      <c r="AF202" s="239"/>
      <c r="AG202" s="39"/>
      <c r="AH202" s="39"/>
      <c r="AI202" s="39"/>
      <c r="AJ202" s="39"/>
      <c r="AK202" s="39"/>
      <c r="AL202" s="39"/>
      <c r="AM202" s="39"/>
      <c r="AN202" s="39"/>
      <c r="AO202" s="39"/>
      <c r="AP202" s="39"/>
      <c r="AQ202" s="39"/>
    </row>
    <row r="203" spans="1:43" s="42" customFormat="1" ht="18.75" customHeight="1">
      <c r="A203" s="52" t="s">
        <v>383</v>
      </c>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239"/>
      <c r="AG203" s="39"/>
      <c r="AH203" s="39"/>
      <c r="AI203" s="39"/>
      <c r="AJ203" s="39"/>
      <c r="AK203" s="39"/>
      <c r="AL203" s="39"/>
      <c r="AM203" s="39"/>
      <c r="AN203" s="39"/>
      <c r="AO203" s="39"/>
      <c r="AP203" s="39"/>
      <c r="AQ203" s="39"/>
    </row>
    <row r="204" spans="1:43" s="42" customFormat="1" ht="13.5" customHeight="1">
      <c r="A204" s="1513" t="s">
        <v>1465</v>
      </c>
      <c r="B204" s="1514"/>
      <c r="C204" s="1514"/>
      <c r="D204" s="1514"/>
      <c r="E204" s="1514"/>
      <c r="F204" s="54"/>
      <c r="G204" s="55"/>
      <c r="H204" s="55"/>
      <c r="I204" s="55"/>
      <c r="J204" s="55"/>
      <c r="K204" s="54"/>
      <c r="L204" s="54"/>
      <c r="M204" s="56"/>
      <c r="N204" s="56"/>
      <c r="O204" s="54"/>
      <c r="P204" s="54"/>
      <c r="Q204" s="57"/>
      <c r="R204" s="970" t="s">
        <v>384</v>
      </c>
      <c r="S204" s="971"/>
      <c r="T204" s="972" t="s">
        <v>370</v>
      </c>
      <c r="U204" s="972"/>
      <c r="V204" s="972"/>
      <c r="W204" s="972"/>
      <c r="X204" s="972"/>
      <c r="Y204" s="972"/>
      <c r="Z204" s="972"/>
      <c r="AA204" s="972"/>
      <c r="AB204" s="972"/>
      <c r="AC204" s="972"/>
      <c r="AD204" s="972"/>
      <c r="AE204" s="972"/>
      <c r="AF204" s="239"/>
      <c r="AG204" s="39"/>
      <c r="AH204" s="39"/>
      <c r="AI204" s="39"/>
      <c r="AJ204" s="39"/>
      <c r="AK204" s="39"/>
      <c r="AL204" s="39"/>
      <c r="AM204" s="39"/>
      <c r="AN204" s="39"/>
      <c r="AO204" s="39"/>
      <c r="AP204" s="39"/>
      <c r="AQ204" s="39"/>
    </row>
    <row r="205" spans="1:43" s="42" customFormat="1" ht="6.75" customHeight="1">
      <c r="A205" s="1515"/>
      <c r="B205" s="1516"/>
      <c r="C205" s="1516"/>
      <c r="D205" s="1516"/>
      <c r="E205" s="1516"/>
      <c r="F205" s="1517" t="s">
        <v>121</v>
      </c>
      <c r="G205" s="1518"/>
      <c r="H205" s="1518"/>
      <c r="I205" s="1518"/>
      <c r="J205" s="1518"/>
      <c r="K205" s="1518"/>
      <c r="L205" s="1518"/>
      <c r="M205" s="60"/>
      <c r="N205" s="60"/>
      <c r="O205" s="61"/>
      <c r="P205" s="61"/>
      <c r="Q205" s="62"/>
      <c r="R205" s="63"/>
      <c r="S205" s="63"/>
      <c r="T205" s="972"/>
      <c r="U205" s="972"/>
      <c r="V205" s="972"/>
      <c r="W205" s="972"/>
      <c r="X205" s="972"/>
      <c r="Y205" s="972"/>
      <c r="Z205" s="972"/>
      <c r="AA205" s="972"/>
      <c r="AB205" s="972"/>
      <c r="AC205" s="972"/>
      <c r="AD205" s="972"/>
      <c r="AE205" s="972"/>
      <c r="AF205" s="239"/>
      <c r="AG205" s="39"/>
      <c r="AH205" s="39"/>
      <c r="AI205" s="39"/>
      <c r="AJ205" s="39"/>
      <c r="AK205" s="39"/>
      <c r="AL205" s="39"/>
      <c r="AM205" s="39"/>
      <c r="AN205" s="39"/>
      <c r="AO205" s="39"/>
      <c r="AP205" s="39"/>
      <c r="AQ205" s="39"/>
    </row>
    <row r="206" spans="1:43" s="42" customFormat="1" ht="39" customHeight="1" thickBot="1">
      <c r="A206" s="1515"/>
      <c r="B206" s="1516"/>
      <c r="C206" s="1516"/>
      <c r="D206" s="1516"/>
      <c r="E206" s="1516"/>
      <c r="F206" s="1519"/>
      <c r="G206" s="973"/>
      <c r="H206" s="973"/>
      <c r="I206" s="973"/>
      <c r="J206" s="973"/>
      <c r="K206" s="973"/>
      <c r="L206" s="973"/>
      <c r="M206" s="974" t="s">
        <v>1466</v>
      </c>
      <c r="N206" s="975"/>
      <c r="O206" s="975"/>
      <c r="P206" s="975"/>
      <c r="Q206" s="976"/>
      <c r="R206" s="63"/>
      <c r="S206" s="63"/>
      <c r="T206" s="972"/>
      <c r="U206" s="972"/>
      <c r="V206" s="972"/>
      <c r="W206" s="972"/>
      <c r="X206" s="972"/>
      <c r="Y206" s="972"/>
      <c r="Z206" s="972"/>
      <c r="AA206" s="972"/>
      <c r="AB206" s="972"/>
      <c r="AC206" s="972"/>
      <c r="AD206" s="972"/>
      <c r="AE206" s="972"/>
      <c r="AF206" s="1438" t="str">
        <f>IF(A207="","←「卒業者数」が未記入です。（卒業者がいない場合は「０」と記入してください。）",
IF(AND(A207&gt;0,H207=""),"←「大学への進学者数」が未記入です。（進学者がいない場合は「０」と記入してください。）",
IF(SUM(H207:K208)&gt;A207,"←「大学・短大への進学者数」合計が「卒業者数」を上回っています。",
IF(AND(H207&gt;0,M207=""),"←「併設・系列の大学への進学者数」が未記入です。（進学者がいない場合は「０」と記入してください。）",
IF(M207&gt;H207,"←「併設・系列の大学への進学者数」が「大学への進学者数」を上回っています。","")))))</f>
        <v>←「卒業者数」が未記入です。（卒業者がいない場合は「０」と記入してください。）</v>
      </c>
      <c r="AG206" s="39"/>
      <c r="AH206" s="39"/>
      <c r="AI206" s="39"/>
      <c r="AJ206" s="39"/>
      <c r="AK206" s="39"/>
      <c r="AL206" s="39"/>
      <c r="AM206" s="39"/>
      <c r="AN206" s="39"/>
      <c r="AO206" s="39"/>
      <c r="AP206" s="39"/>
      <c r="AQ206" s="39"/>
    </row>
    <row r="207" spans="1:43" s="42" customFormat="1" ht="18.75" customHeight="1">
      <c r="A207" s="1505"/>
      <c r="B207" s="1506"/>
      <c r="C207" s="1506"/>
      <c r="D207" s="1507"/>
      <c r="E207" s="64"/>
      <c r="F207" s="989" t="s">
        <v>386</v>
      </c>
      <c r="G207" s="989"/>
      <c r="H207" s="990"/>
      <c r="I207" s="991"/>
      <c r="J207" s="991"/>
      <c r="K207" s="992"/>
      <c r="L207" s="65" t="s">
        <v>372</v>
      </c>
      <c r="M207" s="990"/>
      <c r="N207" s="991"/>
      <c r="O207" s="991"/>
      <c r="P207" s="992"/>
      <c r="Q207" s="66" t="s">
        <v>372</v>
      </c>
      <c r="R207" s="63"/>
      <c r="S207" s="63"/>
      <c r="T207" s="972"/>
      <c r="U207" s="972"/>
      <c r="V207" s="972"/>
      <c r="W207" s="972"/>
      <c r="X207" s="972"/>
      <c r="Y207" s="972"/>
      <c r="Z207" s="972"/>
      <c r="AA207" s="972"/>
      <c r="AB207" s="972"/>
      <c r="AC207" s="972"/>
      <c r="AD207" s="972"/>
      <c r="AE207" s="972"/>
      <c r="AF207" s="1438"/>
      <c r="AG207" s="39"/>
      <c r="AH207" s="39"/>
      <c r="AI207" s="39"/>
      <c r="AJ207" s="39"/>
      <c r="AK207" s="39"/>
      <c r="AL207" s="39"/>
      <c r="AM207" s="39"/>
      <c r="AN207" s="39"/>
      <c r="AO207" s="39"/>
      <c r="AP207" s="39"/>
      <c r="AQ207" s="39"/>
    </row>
    <row r="208" spans="1:43" s="39" customFormat="1" ht="18.75" customHeight="1" thickBot="1">
      <c r="A208" s="1508"/>
      <c r="B208" s="1509"/>
      <c r="C208" s="1509"/>
      <c r="D208" s="1510"/>
      <c r="E208" s="67" t="s">
        <v>375</v>
      </c>
      <c r="F208" s="993" t="s">
        <v>387</v>
      </c>
      <c r="G208" s="993"/>
      <c r="H208" s="994"/>
      <c r="I208" s="995"/>
      <c r="J208" s="995"/>
      <c r="K208" s="996"/>
      <c r="L208" s="68" t="s">
        <v>372</v>
      </c>
      <c r="M208" s="994"/>
      <c r="N208" s="995"/>
      <c r="O208" s="995"/>
      <c r="P208" s="996"/>
      <c r="Q208" s="69" t="s">
        <v>372</v>
      </c>
      <c r="R208" s="44"/>
      <c r="S208" s="44"/>
      <c r="T208" s="972"/>
      <c r="U208" s="972"/>
      <c r="V208" s="972"/>
      <c r="W208" s="972"/>
      <c r="X208" s="972"/>
      <c r="Y208" s="972"/>
      <c r="Z208" s="972"/>
      <c r="AA208" s="972"/>
      <c r="AB208" s="972"/>
      <c r="AC208" s="972"/>
      <c r="AD208" s="972"/>
      <c r="AE208" s="972"/>
      <c r="AF208" s="1511"/>
    </row>
    <row r="209" spans="1:43" s="39" customFormat="1" ht="4.5" customHeight="1">
      <c r="A209" s="469"/>
      <c r="B209" s="469"/>
      <c r="C209" s="469"/>
      <c r="D209" s="469"/>
      <c r="E209" s="470"/>
      <c r="F209" s="471"/>
      <c r="G209" s="471"/>
      <c r="H209" s="471"/>
      <c r="I209" s="471"/>
      <c r="J209" s="471"/>
      <c r="K209" s="471"/>
      <c r="L209" s="472"/>
      <c r="M209" s="471"/>
      <c r="N209" s="471"/>
      <c r="O209" s="471"/>
      <c r="P209" s="471"/>
      <c r="Q209" s="472"/>
      <c r="R209" s="44"/>
      <c r="S209" s="44"/>
      <c r="T209" s="243"/>
      <c r="U209" s="243"/>
      <c r="V209" s="243"/>
      <c r="W209" s="243"/>
      <c r="X209" s="243"/>
      <c r="Y209" s="243"/>
      <c r="Z209" s="243"/>
      <c r="AA209" s="243"/>
      <c r="AB209" s="243"/>
      <c r="AC209" s="243"/>
      <c r="AD209" s="243"/>
      <c r="AE209" s="243"/>
      <c r="AF209" s="1511"/>
    </row>
    <row r="211" spans="1:43" s="39" customFormat="1" ht="4.5" customHeight="1">
      <c r="A211" s="473"/>
      <c r="B211" s="243"/>
      <c r="C211" s="243"/>
      <c r="D211" s="243"/>
      <c r="E211" s="243"/>
      <c r="F211" s="243"/>
      <c r="G211" s="243"/>
      <c r="H211" s="243"/>
      <c r="I211" s="243"/>
      <c r="J211" s="243"/>
      <c r="K211" s="243"/>
      <c r="L211" s="243"/>
      <c r="M211" s="243"/>
      <c r="N211" s="243"/>
      <c r="O211" s="243"/>
      <c r="P211" s="243"/>
      <c r="Q211"/>
      <c r="R211"/>
      <c r="S211"/>
      <c r="T211"/>
      <c r="U211"/>
      <c r="V211"/>
      <c r="W211"/>
      <c r="X211"/>
      <c r="Y211"/>
      <c r="Z211"/>
      <c r="AA211"/>
      <c r="AB211"/>
      <c r="AC211"/>
      <c r="AD211"/>
      <c r="AE211"/>
      <c r="AF211" s="239"/>
    </row>
    <row r="212" spans="1:43" s="39" customFormat="1" ht="13.5" customHeight="1">
      <c r="A212" s="473"/>
      <c r="B212" s="243"/>
      <c r="C212" s="243"/>
      <c r="D212" s="243"/>
      <c r="E212" s="243"/>
      <c r="F212" s="243"/>
      <c r="G212" s="243"/>
      <c r="H212" s="243"/>
      <c r="I212" s="243"/>
      <c r="J212" s="243"/>
      <c r="K212" s="243"/>
      <c r="L212" s="243"/>
      <c r="M212" s="243"/>
      <c r="N212" s="243"/>
      <c r="O212" s="474" t="s">
        <v>1467</v>
      </c>
      <c r="P212" s="474"/>
      <c r="Q212" s="475"/>
      <c r="R212" s="475"/>
      <c r="S212" s="475"/>
      <c r="T212" s="475"/>
      <c r="U212" s="475"/>
      <c r="V212" s="475"/>
      <c r="W212" s="475"/>
      <c r="X212" s="475"/>
      <c r="Y212" s="475"/>
      <c r="Z212" s="475"/>
      <c r="AA212" s="475"/>
      <c r="AB212" s="475"/>
      <c r="AC212" s="475"/>
      <c r="AD212" s="475"/>
      <c r="AE212" s="475"/>
      <c r="AF212" s="239"/>
    </row>
    <row r="213" spans="1:43" s="42" customFormat="1" ht="13.5" customHeight="1">
      <c r="A213" s="1500" t="s">
        <v>1468</v>
      </c>
      <c r="B213" s="1500"/>
      <c r="C213" s="1500"/>
      <c r="D213" s="1500"/>
      <c r="E213" s="1500"/>
      <c r="F213" s="1500"/>
      <c r="G213" s="1500"/>
      <c r="H213" s="1500"/>
      <c r="I213" s="1500"/>
      <c r="J213" s="1500"/>
      <c r="K213" s="1500"/>
      <c r="L213" s="1500"/>
      <c r="M213" s="1500"/>
      <c r="N213" s="1500"/>
      <c r="O213" s="1500"/>
      <c r="P213" s="1500"/>
      <c r="Q213" s="475"/>
      <c r="R213" s="475"/>
      <c r="S213" s="475"/>
      <c r="T213" s="475"/>
      <c r="U213" s="475"/>
      <c r="V213" s="475"/>
      <c r="W213" s="475"/>
      <c r="X213" s="475"/>
      <c r="Y213" s="475"/>
      <c r="Z213" s="475"/>
      <c r="AA213" s="475"/>
      <c r="AB213" s="475"/>
      <c r="AC213" s="475"/>
      <c r="AD213" s="475"/>
      <c r="AE213" s="475"/>
      <c r="AF213" s="239"/>
      <c r="AG213" s="39"/>
      <c r="AH213" s="39"/>
      <c r="AI213" s="39"/>
      <c r="AJ213" s="39"/>
      <c r="AK213" s="39"/>
      <c r="AL213" s="39"/>
      <c r="AM213" s="39"/>
      <c r="AN213" s="39"/>
      <c r="AO213" s="39"/>
      <c r="AP213" s="39"/>
      <c r="AQ213" s="39"/>
    </row>
    <row r="214" spans="1:43" s="42" customFormat="1" ht="5.0999999999999996" customHeight="1">
      <c r="A214" s="476"/>
      <c r="B214" s="476"/>
      <c r="C214" s="476"/>
      <c r="D214" s="476"/>
      <c r="E214" s="476"/>
      <c r="F214" s="476"/>
      <c r="G214" s="476"/>
      <c r="H214" s="476"/>
      <c r="I214" s="476"/>
      <c r="J214" s="476"/>
      <c r="K214" s="476"/>
      <c r="L214" s="476"/>
      <c r="M214" s="476"/>
      <c r="N214" s="476"/>
      <c r="O214" s="476"/>
      <c r="P214" s="476"/>
      <c r="Q214" s="476"/>
      <c r="R214" s="476"/>
      <c r="S214" s="476"/>
      <c r="T214" s="476"/>
      <c r="U214" s="476"/>
      <c r="V214" s="476"/>
      <c r="W214" s="476"/>
      <c r="X214" s="476"/>
      <c r="Y214" s="476"/>
      <c r="Z214" s="476"/>
      <c r="AA214" s="476"/>
      <c r="AB214" s="476"/>
      <c r="AC214" s="476"/>
      <c r="AD214" s="476"/>
      <c r="AE214" s="476"/>
      <c r="AF214" s="239"/>
      <c r="AG214" s="39"/>
      <c r="AH214" s="39"/>
      <c r="AI214" s="39"/>
      <c r="AJ214" s="39"/>
      <c r="AK214" s="39"/>
      <c r="AL214" s="39"/>
      <c r="AM214" s="39"/>
      <c r="AN214" s="39"/>
      <c r="AO214" s="39"/>
      <c r="AP214" s="39"/>
      <c r="AQ214" s="39"/>
    </row>
    <row r="215" spans="1:43" s="42" customFormat="1" ht="52.5" customHeight="1">
      <c r="A215" s="1501" t="s">
        <v>1469</v>
      </c>
      <c r="B215" s="1502"/>
      <c r="C215" s="1502"/>
      <c r="D215" s="1502"/>
      <c r="E215" s="1502"/>
      <c r="F215" s="1502"/>
      <c r="G215" s="1502"/>
      <c r="H215" s="1502"/>
      <c r="I215" s="1502"/>
      <c r="J215" s="1502"/>
      <c r="K215" s="1502"/>
      <c r="L215" s="1502"/>
      <c r="M215" s="1502"/>
      <c r="N215" s="1502"/>
      <c r="O215" s="1502"/>
      <c r="P215" s="1502"/>
      <c r="Q215" s="1502"/>
      <c r="R215" s="1502"/>
      <c r="S215" s="1502"/>
      <c r="T215" s="1502"/>
      <c r="U215" s="1502"/>
      <c r="V215" s="1502"/>
      <c r="W215" s="1502"/>
      <c r="X215" s="1502"/>
      <c r="Y215" s="1502"/>
      <c r="Z215" s="1502"/>
      <c r="AA215" s="1502"/>
      <c r="AB215" s="1502"/>
      <c r="AC215" s="1502"/>
      <c r="AD215" s="1502"/>
      <c r="AE215" s="1502"/>
      <c r="AF215" s="239"/>
      <c r="AG215" s="39"/>
      <c r="AH215" s="39"/>
      <c r="AI215" s="39"/>
      <c r="AJ215" s="39"/>
      <c r="AK215" s="39"/>
      <c r="AL215" s="39"/>
      <c r="AM215" s="39"/>
      <c r="AN215" s="39"/>
      <c r="AO215" s="39"/>
      <c r="AP215" s="39"/>
      <c r="AQ215" s="39"/>
    </row>
    <row r="216" spans="1:43" s="42" customFormat="1" ht="5.0999999999999996" customHeight="1">
      <c r="A216" s="477"/>
      <c r="B216" s="478"/>
      <c r="C216" s="478"/>
      <c r="D216" s="478"/>
      <c r="E216" s="478"/>
      <c r="F216" s="478"/>
      <c r="G216" s="478"/>
      <c r="H216" s="478"/>
      <c r="I216" s="478"/>
      <c r="J216" s="478"/>
      <c r="K216" s="478"/>
      <c r="L216" s="478"/>
      <c r="M216" s="478"/>
      <c r="N216" s="478"/>
      <c r="O216" s="478"/>
      <c r="P216" s="478"/>
      <c r="Q216" s="478"/>
      <c r="R216" s="478"/>
      <c r="S216" s="478"/>
      <c r="T216" s="478"/>
      <c r="U216" s="478"/>
      <c r="V216" s="478"/>
      <c r="W216" s="478"/>
      <c r="X216" s="478"/>
      <c r="Y216" s="478"/>
      <c r="Z216" s="478"/>
      <c r="AA216" s="478"/>
      <c r="AB216" s="478"/>
      <c r="AC216" s="478"/>
      <c r="AD216" s="478"/>
      <c r="AE216" s="478"/>
      <c r="AF216" s="239"/>
      <c r="AG216" s="39"/>
      <c r="AH216" s="39"/>
      <c r="AI216" s="39"/>
      <c r="AJ216" s="39"/>
      <c r="AK216" s="39"/>
      <c r="AL216" s="39"/>
      <c r="AM216" s="39"/>
      <c r="AN216" s="39"/>
      <c r="AO216" s="39"/>
      <c r="AP216" s="39"/>
      <c r="AQ216" s="39"/>
    </row>
    <row r="217" spans="1:43" s="42" customFormat="1" ht="13.5">
      <c r="A217" s="479" t="s">
        <v>1470</v>
      </c>
      <c r="B217" s="478"/>
      <c r="C217" s="478"/>
      <c r="D217" s="478"/>
      <c r="E217" s="478"/>
      <c r="F217" s="478"/>
      <c r="G217" s="478"/>
      <c r="H217" s="478"/>
      <c r="I217" s="478"/>
      <c r="J217" s="478"/>
      <c r="K217" s="478"/>
      <c r="L217" s="478"/>
      <c r="M217" s="478"/>
      <c r="N217" s="478"/>
      <c r="O217" s="478"/>
      <c r="P217" s="478"/>
      <c r="Q217" s="38"/>
      <c r="R217" s="38"/>
      <c r="S217" s="405"/>
      <c r="T217" s="405"/>
      <c r="U217" s="405"/>
      <c r="V217" s="38"/>
      <c r="W217" s="38"/>
      <c r="X217" s="38"/>
      <c r="Y217" s="38"/>
      <c r="Z217" s="38"/>
      <c r="AA217" s="38"/>
      <c r="AD217" s="39"/>
      <c r="AE217" s="39"/>
      <c r="AF217" s="227"/>
    </row>
    <row r="218" spans="1:43" s="42" customFormat="1" ht="5.0999999999999996" customHeight="1" thickBot="1">
      <c r="A218" s="480"/>
      <c r="B218" s="478"/>
      <c r="C218" s="478"/>
      <c r="D218" s="478"/>
      <c r="E218" s="478"/>
      <c r="F218" s="478"/>
      <c r="G218" s="478"/>
      <c r="H218" s="478"/>
      <c r="I218" s="478"/>
      <c r="J218" s="478"/>
      <c r="K218" s="478"/>
      <c r="L218" s="478"/>
      <c r="M218" s="478"/>
      <c r="N218" s="478"/>
      <c r="O218" s="478"/>
      <c r="P218" s="478"/>
      <c r="Q218" s="38"/>
      <c r="R218" s="38"/>
      <c r="S218" s="405"/>
      <c r="T218" s="405"/>
      <c r="U218" s="405"/>
      <c r="V218" s="38"/>
      <c r="W218" s="38"/>
      <c r="X218" s="38"/>
      <c r="Y218" s="38"/>
      <c r="Z218" s="38"/>
      <c r="AA218" s="38"/>
      <c r="AD218" s="39"/>
      <c r="AE218" s="39"/>
      <c r="AF218" s="227"/>
    </row>
    <row r="219" spans="1:43" s="42" customFormat="1" ht="15" customHeight="1">
      <c r="A219" s="1480"/>
      <c r="B219" s="1481"/>
      <c r="C219" s="1486" t="s">
        <v>1471</v>
      </c>
      <c r="D219" s="1486"/>
      <c r="E219" s="1486"/>
      <c r="F219" s="1486"/>
      <c r="G219" s="1486"/>
      <c r="H219" s="1486"/>
      <c r="I219" s="1486"/>
      <c r="J219" s="1486"/>
      <c r="K219" s="1486"/>
      <c r="L219" s="1487"/>
      <c r="M219" s="481" t="s">
        <v>1472</v>
      </c>
      <c r="N219" s="1503" t="s">
        <v>1473</v>
      </c>
      <c r="O219" s="1503"/>
      <c r="P219" s="1503"/>
      <c r="Q219" s="1503"/>
      <c r="R219" s="1503"/>
      <c r="S219" s="1503"/>
      <c r="T219" s="1503"/>
      <c r="U219" s="1503"/>
      <c r="V219" s="1503"/>
      <c r="W219" s="1503"/>
      <c r="X219" s="1503"/>
      <c r="Y219" s="1503"/>
      <c r="Z219" s="1503"/>
      <c r="AA219" s="1503"/>
      <c r="AB219" s="1503"/>
      <c r="AC219" s="1503"/>
      <c r="AD219" s="1503"/>
      <c r="AE219" s="1503"/>
      <c r="AF219" s="1504" t="str">
        <f>IF(A219="","←(1)現時点の耐震化状況についてお答えください。",
IF(A219=1,"(2)(3)は回答不要です。",
IF(AND(OR(A219=2,A219=3),A227=""),"←(2)耐震化未実施の建物に対する耐震化予定についてお答えください。",
IF(A227=1,"(3)は回答不要です。",
IF(AND(A219&lt;&gt;1,A227&lt;&gt;1,N227&lt;&gt;"○",N228&lt;&gt;"○",N229&lt;&gt;"○",N230&lt;&gt;"○"),"←(3)耐震化未定の理由についてお答えください。",
IF(AND(N230="○",P231=""),"(3)の「その他」の内容を回答してください",""))))))</f>
        <v>←(1)現時点の耐震化状況についてお答えください。</v>
      </c>
    </row>
    <row r="220" spans="1:43" s="42" customFormat="1" ht="15" customHeight="1">
      <c r="A220" s="1482"/>
      <c r="B220" s="1483"/>
      <c r="C220" s="1493" t="s">
        <v>1474</v>
      </c>
      <c r="D220" s="1493"/>
      <c r="E220" s="1493"/>
      <c r="F220" s="1493"/>
      <c r="G220" s="1493"/>
      <c r="H220" s="1493"/>
      <c r="I220" s="1493"/>
      <c r="J220" s="1493"/>
      <c r="K220" s="1493"/>
      <c r="L220" s="1494"/>
      <c r="M220" s="478"/>
      <c r="N220" s="1503"/>
      <c r="O220" s="1503"/>
      <c r="P220" s="1503"/>
      <c r="Q220" s="1503"/>
      <c r="R220" s="1503"/>
      <c r="S220" s="1503"/>
      <c r="T220" s="1503"/>
      <c r="U220" s="1503"/>
      <c r="V220" s="1503"/>
      <c r="W220" s="1503"/>
      <c r="X220" s="1503"/>
      <c r="Y220" s="1503"/>
      <c r="Z220" s="1503"/>
      <c r="AA220" s="1503"/>
      <c r="AB220" s="1503"/>
      <c r="AC220" s="1503"/>
      <c r="AD220" s="1503"/>
      <c r="AE220" s="1503"/>
      <c r="AF220" s="1504"/>
    </row>
    <row r="221" spans="1:43" s="42" customFormat="1" ht="15" customHeight="1" thickBot="1">
      <c r="A221" s="1484"/>
      <c r="B221" s="1485"/>
      <c r="C221" s="1468" t="s">
        <v>1475</v>
      </c>
      <c r="D221" s="1468"/>
      <c r="E221" s="1468"/>
      <c r="F221" s="1468"/>
      <c r="G221" s="1468"/>
      <c r="H221" s="1468"/>
      <c r="I221" s="1468"/>
      <c r="J221" s="1468"/>
      <c r="K221" s="1468"/>
      <c r="L221" s="1469"/>
      <c r="M221" s="478"/>
      <c r="N221" s="1503"/>
      <c r="O221" s="1503"/>
      <c r="P221" s="1503"/>
      <c r="Q221" s="1503"/>
      <c r="R221" s="1503"/>
      <c r="S221" s="1503"/>
      <c r="T221" s="1503"/>
      <c r="U221" s="1503"/>
      <c r="V221" s="1503"/>
      <c r="W221" s="1503"/>
      <c r="X221" s="1503"/>
      <c r="Y221" s="1503"/>
      <c r="Z221" s="1503"/>
      <c r="AA221" s="1503"/>
      <c r="AB221" s="1503"/>
      <c r="AC221" s="1503"/>
      <c r="AD221" s="1503"/>
      <c r="AE221" s="1503"/>
      <c r="AF221" s="1504"/>
    </row>
    <row r="222" spans="1:43" s="42" customFormat="1" ht="5.0999999999999996" customHeight="1">
      <c r="A222" s="477"/>
      <c r="B222" s="478"/>
      <c r="C222" s="478"/>
      <c r="D222" s="478"/>
      <c r="E222" s="478"/>
      <c r="F222" s="478"/>
      <c r="G222" s="478"/>
      <c r="H222" s="478"/>
      <c r="I222" s="478"/>
      <c r="J222" s="478"/>
      <c r="K222" s="478"/>
      <c r="L222" s="478"/>
      <c r="M222" s="478"/>
      <c r="N222" s="1503"/>
      <c r="O222" s="1503"/>
      <c r="P222" s="1503"/>
      <c r="Q222" s="1503"/>
      <c r="R222" s="1503"/>
      <c r="S222" s="1503"/>
      <c r="T222" s="1503"/>
      <c r="U222" s="1503"/>
      <c r="V222" s="1503"/>
      <c r="W222" s="1503"/>
      <c r="X222" s="1503"/>
      <c r="Y222" s="1503"/>
      <c r="Z222" s="1503"/>
      <c r="AA222" s="1503"/>
      <c r="AB222" s="1503"/>
      <c r="AC222" s="1503"/>
      <c r="AD222" s="1503"/>
      <c r="AE222" s="1503"/>
      <c r="AF222" s="227"/>
    </row>
    <row r="223" spans="1:43" s="42" customFormat="1" ht="5.0999999999999996" customHeight="1">
      <c r="A223" s="477"/>
      <c r="B223" s="478"/>
      <c r="C223" s="478"/>
      <c r="D223" s="478"/>
      <c r="E223" s="478"/>
      <c r="F223" s="478"/>
      <c r="G223" s="478"/>
      <c r="H223" s="478"/>
      <c r="I223" s="478"/>
      <c r="J223" s="478"/>
      <c r="K223" s="478"/>
      <c r="L223" s="478"/>
      <c r="M223" s="478"/>
      <c r="N223" s="482"/>
      <c r="O223" s="482"/>
      <c r="P223" s="482"/>
      <c r="Q223" s="482"/>
      <c r="R223" s="482"/>
      <c r="S223" s="482"/>
      <c r="T223" s="482"/>
      <c r="U223" s="482"/>
      <c r="V223" s="482"/>
      <c r="W223" s="482"/>
      <c r="X223" s="482"/>
      <c r="Y223" s="482"/>
      <c r="Z223" s="482"/>
      <c r="AA223" s="482"/>
      <c r="AB223" s="482"/>
      <c r="AC223" s="482"/>
      <c r="AD223" s="482"/>
      <c r="AE223" s="482"/>
      <c r="AF223" s="227"/>
    </row>
    <row r="224" spans="1:43" s="42" customFormat="1" ht="5.0999999999999996" customHeight="1">
      <c r="A224" s="477"/>
      <c r="B224" s="478"/>
      <c r="C224" s="478"/>
      <c r="D224" s="478"/>
      <c r="E224" s="478"/>
      <c r="F224" s="478"/>
      <c r="G224" s="478"/>
      <c r="H224" s="478"/>
      <c r="I224" s="478"/>
      <c r="J224" s="478"/>
      <c r="K224" s="478"/>
      <c r="L224" s="478"/>
      <c r="M224" s="478"/>
      <c r="N224" s="482"/>
      <c r="O224" s="482"/>
      <c r="P224" s="482"/>
      <c r="Q224" s="482"/>
      <c r="R224" s="482"/>
      <c r="S224" s="482"/>
      <c r="T224" s="482"/>
      <c r="U224" s="482"/>
      <c r="V224" s="482"/>
      <c r="W224" s="482"/>
      <c r="X224" s="482"/>
      <c r="Y224" s="482"/>
      <c r="Z224" s="482"/>
      <c r="AA224" s="482"/>
      <c r="AB224" s="482"/>
      <c r="AC224" s="482"/>
      <c r="AD224" s="482"/>
      <c r="AE224" s="482"/>
      <c r="AF224" s="227"/>
    </row>
    <row r="225" spans="1:39" s="42" customFormat="1" ht="15" customHeight="1">
      <c r="A225" s="483" t="s">
        <v>1476</v>
      </c>
      <c r="B225" s="484"/>
      <c r="C225" s="484"/>
      <c r="D225" s="484"/>
      <c r="E225" s="484"/>
      <c r="F225" s="484"/>
      <c r="G225" s="484"/>
      <c r="H225" s="484"/>
      <c r="I225" s="484"/>
      <c r="J225" s="484"/>
      <c r="K225" s="484"/>
      <c r="L225" s="484"/>
      <c r="M225" s="484"/>
      <c r="N225" s="483" t="s">
        <v>1477</v>
      </c>
      <c r="O225" s="483"/>
      <c r="P225" s="485"/>
      <c r="Q225" s="485"/>
      <c r="R225" s="485"/>
      <c r="S225" s="485"/>
      <c r="T225" s="485"/>
      <c r="U225" s="485"/>
      <c r="V225" s="485"/>
      <c r="W225" s="485"/>
      <c r="X225" s="485"/>
      <c r="Y225" s="485"/>
      <c r="Z225" s="485"/>
      <c r="AA225" s="485"/>
      <c r="AB225" s="485"/>
      <c r="AC225" s="485"/>
      <c r="AD225" s="485"/>
      <c r="AE225" s="486"/>
      <c r="AF225" s="227"/>
    </row>
    <row r="226" spans="1:39" s="42" customFormat="1" ht="5.0999999999999996" customHeight="1" thickBot="1">
      <c r="A226" s="483"/>
      <c r="B226" s="484"/>
      <c r="C226" s="484"/>
      <c r="D226" s="484"/>
      <c r="E226" s="484"/>
      <c r="F226" s="484"/>
      <c r="G226" s="484"/>
      <c r="H226" s="484"/>
      <c r="I226" s="484"/>
      <c r="J226" s="484"/>
      <c r="K226" s="484"/>
      <c r="L226" s="484"/>
      <c r="M226" s="484"/>
      <c r="N226" s="483"/>
      <c r="O226" s="483"/>
      <c r="P226" s="485"/>
      <c r="Q226" s="485"/>
      <c r="R226" s="485"/>
      <c r="S226" s="485"/>
      <c r="T226" s="485"/>
      <c r="U226" s="485"/>
      <c r="V226" s="485"/>
      <c r="W226" s="485"/>
      <c r="X226" s="485"/>
      <c r="Y226" s="485"/>
      <c r="Z226" s="485"/>
      <c r="AA226" s="485"/>
      <c r="AB226" s="485"/>
      <c r="AC226" s="485"/>
      <c r="AD226" s="485"/>
      <c r="AE226" s="487"/>
      <c r="AF226" s="227"/>
    </row>
    <row r="227" spans="1:39" s="42" customFormat="1" ht="15" customHeight="1">
      <c r="A227" s="1480"/>
      <c r="B227" s="1481"/>
      <c r="C227" s="1486" t="s">
        <v>1478</v>
      </c>
      <c r="D227" s="1486"/>
      <c r="E227" s="1486"/>
      <c r="F227" s="1486"/>
      <c r="G227" s="1486"/>
      <c r="H227" s="1486"/>
      <c r="I227" s="1486"/>
      <c r="J227" s="1486"/>
      <c r="K227" s="1486"/>
      <c r="L227" s="1487"/>
      <c r="M227" s="478"/>
      <c r="N227" s="1488"/>
      <c r="O227" s="1489"/>
      <c r="P227" s="1490" t="s">
        <v>1479</v>
      </c>
      <c r="Q227" s="1491"/>
      <c r="R227" s="1491"/>
      <c r="S227" s="1491"/>
      <c r="T227" s="1491"/>
      <c r="U227" s="1491"/>
      <c r="V227" s="1491"/>
      <c r="W227" s="1491"/>
      <c r="X227" s="1491"/>
      <c r="Y227" s="1491"/>
      <c r="Z227" s="1491"/>
      <c r="AA227" s="1491"/>
      <c r="AB227" s="1491"/>
      <c r="AC227" s="1491"/>
      <c r="AD227" s="1491"/>
      <c r="AE227" s="1492"/>
      <c r="AF227" s="227"/>
    </row>
    <row r="228" spans="1:39" s="42" customFormat="1" ht="15" customHeight="1">
      <c r="A228" s="1482"/>
      <c r="B228" s="1483"/>
      <c r="C228" s="1493" t="s">
        <v>1480</v>
      </c>
      <c r="D228" s="1493"/>
      <c r="E228" s="1493"/>
      <c r="F228" s="1493"/>
      <c r="G228" s="1493"/>
      <c r="H228" s="1493"/>
      <c r="I228" s="1493"/>
      <c r="J228" s="1493"/>
      <c r="K228" s="1493"/>
      <c r="L228" s="1494"/>
      <c r="M228" s="478"/>
      <c r="N228" s="1495"/>
      <c r="O228" s="1496"/>
      <c r="P228" s="1497" t="s">
        <v>1481</v>
      </c>
      <c r="Q228" s="1498"/>
      <c r="R228" s="1498"/>
      <c r="S228" s="1498"/>
      <c r="T228" s="1498"/>
      <c r="U228" s="1498"/>
      <c r="V228" s="1498"/>
      <c r="W228" s="1498"/>
      <c r="X228" s="1498"/>
      <c r="Y228" s="1498"/>
      <c r="Z228" s="1498"/>
      <c r="AA228" s="1498"/>
      <c r="AB228" s="1498"/>
      <c r="AC228" s="1498"/>
      <c r="AD228" s="1498"/>
      <c r="AE228" s="1499"/>
      <c r="AF228" s="227"/>
    </row>
    <row r="229" spans="1:39" s="42" customFormat="1" ht="15" customHeight="1">
      <c r="A229" s="1482"/>
      <c r="B229" s="1483"/>
      <c r="C229" s="1493" t="s">
        <v>1482</v>
      </c>
      <c r="D229" s="1493"/>
      <c r="E229" s="1493"/>
      <c r="F229" s="1493"/>
      <c r="G229" s="1493"/>
      <c r="H229" s="1493"/>
      <c r="I229" s="1493"/>
      <c r="J229" s="1493"/>
      <c r="K229" s="1493"/>
      <c r="L229" s="1494"/>
      <c r="M229" s="478"/>
      <c r="N229" s="1495"/>
      <c r="O229" s="1496"/>
      <c r="P229" s="1497" t="s">
        <v>1483</v>
      </c>
      <c r="Q229" s="1498"/>
      <c r="R229" s="1498"/>
      <c r="S229" s="1498"/>
      <c r="T229" s="1498"/>
      <c r="U229" s="1498"/>
      <c r="V229" s="1498"/>
      <c r="W229" s="1498"/>
      <c r="X229" s="1498"/>
      <c r="Y229" s="1498"/>
      <c r="Z229" s="1498"/>
      <c r="AA229" s="1498"/>
      <c r="AB229" s="1498"/>
      <c r="AC229" s="1498"/>
      <c r="AD229" s="1498"/>
      <c r="AE229" s="1499"/>
      <c r="AF229" s="227"/>
    </row>
    <row r="230" spans="1:39" s="42" customFormat="1" ht="15" customHeight="1" thickBot="1">
      <c r="A230" s="1484"/>
      <c r="B230" s="1485"/>
      <c r="C230" s="1468" t="s">
        <v>1484</v>
      </c>
      <c r="D230" s="1468"/>
      <c r="E230" s="1468"/>
      <c r="F230" s="1468"/>
      <c r="G230" s="1468"/>
      <c r="H230" s="1468"/>
      <c r="I230" s="1468"/>
      <c r="J230" s="1468"/>
      <c r="K230" s="1468"/>
      <c r="L230" s="1469"/>
      <c r="M230" s="478"/>
      <c r="N230" s="1470"/>
      <c r="O230" s="1471"/>
      <c r="P230" s="1474" t="s">
        <v>1485</v>
      </c>
      <c r="Q230" s="1475"/>
      <c r="R230" s="1475"/>
      <c r="S230" s="1475"/>
      <c r="T230" s="1475"/>
      <c r="U230" s="1475"/>
      <c r="V230" s="1475"/>
      <c r="W230" s="1475"/>
      <c r="X230" s="1475"/>
      <c r="Y230" s="1475"/>
      <c r="Z230" s="1475"/>
      <c r="AA230" s="1475"/>
      <c r="AB230" s="1475"/>
      <c r="AC230" s="1475"/>
      <c r="AD230" s="1475"/>
      <c r="AE230" s="1476"/>
      <c r="AF230" s="227"/>
    </row>
    <row r="231" spans="1:39" s="42" customFormat="1" ht="15" customHeight="1" thickBot="1">
      <c r="A231" s="488"/>
      <c r="B231" s="478"/>
      <c r="C231" s="478"/>
      <c r="D231" s="478"/>
      <c r="E231" s="478"/>
      <c r="F231" s="478"/>
      <c r="G231" s="478"/>
      <c r="H231" s="478"/>
      <c r="I231" s="478"/>
      <c r="J231" s="478"/>
      <c r="K231" s="478"/>
      <c r="L231" s="478"/>
      <c r="M231" s="478"/>
      <c r="N231" s="1472"/>
      <c r="O231" s="1473"/>
      <c r="P231" s="1477"/>
      <c r="Q231" s="1478"/>
      <c r="R231" s="1478"/>
      <c r="S231" s="1478"/>
      <c r="T231" s="1478"/>
      <c r="U231" s="1478"/>
      <c r="V231" s="1478"/>
      <c r="W231" s="1478"/>
      <c r="X231" s="1478"/>
      <c r="Y231" s="1478"/>
      <c r="Z231" s="1478"/>
      <c r="AA231" s="1478"/>
      <c r="AB231" s="1478"/>
      <c r="AC231" s="1478"/>
      <c r="AD231" s="1478"/>
      <c r="AE231" s="1479"/>
      <c r="AF231" s="227"/>
    </row>
    <row r="232" spans="1:39" s="42" customFormat="1" ht="5.0999999999999996" customHeight="1">
      <c r="A232" s="477"/>
      <c r="B232" s="478"/>
      <c r="C232" s="478"/>
      <c r="D232" s="478"/>
      <c r="E232" s="478"/>
      <c r="F232" s="478"/>
      <c r="G232" s="478"/>
      <c r="H232" s="478"/>
      <c r="I232" s="478"/>
      <c r="J232" s="478"/>
      <c r="K232" s="478"/>
      <c r="L232" s="478"/>
      <c r="M232" s="478"/>
      <c r="N232" s="482"/>
      <c r="O232" s="482"/>
      <c r="P232" s="482"/>
      <c r="Q232" s="482"/>
      <c r="R232" s="482"/>
      <c r="S232" s="482"/>
      <c r="T232" s="482"/>
      <c r="U232" s="482"/>
      <c r="V232" s="482"/>
      <c r="W232" s="482"/>
      <c r="X232" s="482"/>
      <c r="Y232" s="482"/>
      <c r="Z232" s="482"/>
      <c r="AA232" s="482"/>
      <c r="AB232" s="482"/>
      <c r="AC232" s="482"/>
      <c r="AD232" s="482"/>
      <c r="AE232" s="482"/>
      <c r="AF232" s="227"/>
    </row>
    <row r="233" spans="1:39" s="42" customFormat="1" ht="5.0999999999999996" customHeight="1">
      <c r="A233" s="477"/>
      <c r="B233" s="478"/>
      <c r="C233" s="478"/>
      <c r="D233" s="478"/>
      <c r="E233" s="478"/>
      <c r="F233" s="478"/>
      <c r="G233" s="478"/>
      <c r="H233" s="478"/>
      <c r="I233" s="478"/>
      <c r="J233" s="478"/>
      <c r="K233" s="478"/>
      <c r="L233" s="478"/>
      <c r="M233" s="478"/>
      <c r="N233" s="489"/>
      <c r="O233" s="489"/>
      <c r="AF233" s="227"/>
    </row>
    <row r="240" spans="1:39" ht="42">
      <c r="AG240" s="490" t="s">
        <v>1486</v>
      </c>
      <c r="AH240" s="490" t="s">
        <v>1487</v>
      </c>
      <c r="AI240" s="490" t="s">
        <v>1488</v>
      </c>
      <c r="AJ240" s="490" t="s">
        <v>1489</v>
      </c>
      <c r="AK240" s="491" t="s">
        <v>1490</v>
      </c>
      <c r="AL240" s="490" t="s">
        <v>1491</v>
      </c>
      <c r="AM240" s="490" t="s">
        <v>1330</v>
      </c>
    </row>
    <row r="241" spans="33:39">
      <c r="AG241" s="492" t="s">
        <v>112</v>
      </c>
      <c r="AH241" s="492" t="s">
        <v>124</v>
      </c>
      <c r="AI241" s="492" t="s">
        <v>1492</v>
      </c>
      <c r="AJ241" s="492">
        <v>9100005</v>
      </c>
      <c r="AK241" s="492" t="s">
        <v>1493</v>
      </c>
      <c r="AL241" s="492" t="s">
        <v>1494</v>
      </c>
      <c r="AM241" s="492" t="s">
        <v>112</v>
      </c>
    </row>
    <row r="242" spans="33:39">
      <c r="AG242" s="492" t="s">
        <v>112</v>
      </c>
      <c r="AH242" s="492" t="s">
        <v>401</v>
      </c>
      <c r="AI242" s="492" t="s">
        <v>1495</v>
      </c>
      <c r="AJ242" s="492">
        <v>9100016</v>
      </c>
      <c r="AK242" s="492" t="s">
        <v>1493</v>
      </c>
      <c r="AL242" s="492" t="s">
        <v>1494</v>
      </c>
      <c r="AM242" s="492" t="s">
        <v>992</v>
      </c>
    </row>
    <row r="243" spans="33:39">
      <c r="AG243" s="492" t="s">
        <v>112</v>
      </c>
      <c r="AH243" s="492" t="s">
        <v>1496</v>
      </c>
      <c r="AI243" s="492" t="s">
        <v>1497</v>
      </c>
      <c r="AJ243" s="492">
        <v>9100030</v>
      </c>
      <c r="AK243" s="492" t="s">
        <v>1493</v>
      </c>
      <c r="AL243" s="492" t="s">
        <v>1494</v>
      </c>
      <c r="AM243" s="492" t="s">
        <v>993</v>
      </c>
    </row>
    <row r="244" spans="33:39">
      <c r="AG244" s="492" t="s">
        <v>112</v>
      </c>
      <c r="AH244" s="492" t="s">
        <v>404</v>
      </c>
      <c r="AI244" s="492" t="s">
        <v>1498</v>
      </c>
      <c r="AJ244" s="492">
        <v>9100035</v>
      </c>
      <c r="AK244" s="492" t="s">
        <v>1493</v>
      </c>
      <c r="AL244" s="492" t="s">
        <v>1494</v>
      </c>
      <c r="AM244" s="492" t="s">
        <v>994</v>
      </c>
    </row>
    <row r="245" spans="33:39">
      <c r="AG245" s="492" t="s">
        <v>112</v>
      </c>
      <c r="AH245" s="492" t="s">
        <v>129</v>
      </c>
      <c r="AI245" s="492" t="s">
        <v>1499</v>
      </c>
      <c r="AJ245" s="492">
        <v>9100056</v>
      </c>
      <c r="AK245" s="492" t="s">
        <v>1493</v>
      </c>
      <c r="AL245" s="492" t="s">
        <v>1500</v>
      </c>
      <c r="AM245" s="492" t="s">
        <v>995</v>
      </c>
    </row>
    <row r="246" spans="33:39">
      <c r="AG246" s="492" t="s">
        <v>112</v>
      </c>
      <c r="AH246" s="492" t="s">
        <v>130</v>
      </c>
      <c r="AI246" s="492" t="s">
        <v>1501</v>
      </c>
      <c r="AJ246" s="492">
        <v>9100057</v>
      </c>
      <c r="AK246" s="492" t="s">
        <v>1493</v>
      </c>
      <c r="AL246" s="492" t="s">
        <v>1500</v>
      </c>
      <c r="AM246" s="492" t="s">
        <v>996</v>
      </c>
    </row>
    <row r="247" spans="33:39">
      <c r="AG247" s="492" t="s">
        <v>112</v>
      </c>
      <c r="AH247" s="492" t="s">
        <v>1502</v>
      </c>
      <c r="AI247" s="492" t="s">
        <v>1503</v>
      </c>
      <c r="AJ247" s="492">
        <v>9100058</v>
      </c>
      <c r="AK247" s="492" t="s">
        <v>1504</v>
      </c>
      <c r="AL247" s="492" t="s">
        <v>1500</v>
      </c>
      <c r="AM247" s="492" t="s">
        <v>997</v>
      </c>
    </row>
    <row r="248" spans="33:39">
      <c r="AG248" s="492" t="s">
        <v>112</v>
      </c>
      <c r="AH248" s="492" t="s">
        <v>1505</v>
      </c>
      <c r="AI248" s="492" t="s">
        <v>1506</v>
      </c>
      <c r="AJ248" s="492">
        <v>9100059</v>
      </c>
      <c r="AK248" s="492" t="s">
        <v>1493</v>
      </c>
      <c r="AL248" s="492" t="s">
        <v>1500</v>
      </c>
      <c r="AM248" s="492" t="s">
        <v>998</v>
      </c>
    </row>
    <row r="249" spans="33:39">
      <c r="AG249" s="492" t="s">
        <v>112</v>
      </c>
      <c r="AH249" s="492" t="s">
        <v>1507</v>
      </c>
      <c r="AI249" s="492" t="s">
        <v>1508</v>
      </c>
      <c r="AJ249" s="492">
        <v>9100995</v>
      </c>
      <c r="AK249" s="492" t="s">
        <v>1504</v>
      </c>
      <c r="AL249" s="492" t="s">
        <v>1500</v>
      </c>
      <c r="AM249" s="492" t="s">
        <v>999</v>
      </c>
    </row>
    <row r="250" spans="33:39">
      <c r="AG250" s="492" t="s">
        <v>992</v>
      </c>
      <c r="AH250" s="492" t="s">
        <v>125</v>
      </c>
      <c r="AI250" s="492" t="s">
        <v>1036</v>
      </c>
      <c r="AJ250" s="492">
        <v>9201001</v>
      </c>
      <c r="AK250" s="492" t="s">
        <v>1493</v>
      </c>
      <c r="AL250" s="492" t="s">
        <v>1509</v>
      </c>
      <c r="AM250" s="492" t="s">
        <v>1000</v>
      </c>
    </row>
    <row r="251" spans="33:39">
      <c r="AG251" s="492" t="s">
        <v>992</v>
      </c>
      <c r="AH251" s="492" t="s">
        <v>126</v>
      </c>
      <c r="AI251" s="492" t="s">
        <v>1037</v>
      </c>
      <c r="AJ251" s="492">
        <v>9201002</v>
      </c>
      <c r="AK251" s="492" t="s">
        <v>1493</v>
      </c>
      <c r="AL251" s="492" t="s">
        <v>1494</v>
      </c>
      <c r="AM251" s="492" t="s">
        <v>1001</v>
      </c>
    </row>
    <row r="252" spans="33:39">
      <c r="AG252" s="492" t="s">
        <v>992</v>
      </c>
      <c r="AH252" s="492" t="s">
        <v>1510</v>
      </c>
      <c r="AI252" s="492" t="s">
        <v>1511</v>
      </c>
      <c r="AJ252" s="492">
        <v>9201009</v>
      </c>
      <c r="AK252" s="492" t="s">
        <v>1493</v>
      </c>
      <c r="AL252" s="492" t="s">
        <v>1494</v>
      </c>
      <c r="AM252" s="492" t="s">
        <v>1002</v>
      </c>
    </row>
    <row r="253" spans="33:39">
      <c r="AG253" s="492" t="s">
        <v>992</v>
      </c>
      <c r="AH253" s="492" t="s">
        <v>133</v>
      </c>
      <c r="AI253" s="492" t="s">
        <v>1512</v>
      </c>
      <c r="AJ253" s="492">
        <v>9201011</v>
      </c>
      <c r="AK253" s="492" t="s">
        <v>1493</v>
      </c>
      <c r="AL253" s="492" t="s">
        <v>1494</v>
      </c>
      <c r="AM253" s="492" t="s">
        <v>1003</v>
      </c>
    </row>
    <row r="254" spans="33:39">
      <c r="AG254" s="492" t="s">
        <v>992</v>
      </c>
      <c r="AH254" s="492" t="s">
        <v>128</v>
      </c>
      <c r="AI254" s="492" t="s">
        <v>1513</v>
      </c>
      <c r="AJ254" s="492">
        <v>9201012</v>
      </c>
      <c r="AK254" s="492" t="s">
        <v>1504</v>
      </c>
      <c r="AL254" s="492" t="s">
        <v>1494</v>
      </c>
      <c r="AM254" s="492" t="s">
        <v>1004</v>
      </c>
    </row>
    <row r="255" spans="33:39">
      <c r="AG255" s="492" t="s">
        <v>993</v>
      </c>
      <c r="AH255" s="492" t="s">
        <v>61</v>
      </c>
      <c r="AI255" s="492" t="s">
        <v>1514</v>
      </c>
      <c r="AJ255" s="492">
        <v>9202011</v>
      </c>
      <c r="AK255" s="492" t="s">
        <v>1504</v>
      </c>
      <c r="AL255" s="492" t="s">
        <v>1494</v>
      </c>
      <c r="AM255" s="492" t="s">
        <v>1045</v>
      </c>
    </row>
    <row r="256" spans="33:39">
      <c r="AG256" s="492" t="s">
        <v>993</v>
      </c>
      <c r="AH256" s="492" t="s">
        <v>1515</v>
      </c>
      <c r="AI256" s="492" t="s">
        <v>1516</v>
      </c>
      <c r="AJ256" s="492">
        <v>9202013</v>
      </c>
      <c r="AK256" s="492" t="s">
        <v>1493</v>
      </c>
      <c r="AL256" s="492" t="s">
        <v>1494</v>
      </c>
      <c r="AM256" s="492" t="s">
        <v>1517</v>
      </c>
    </row>
    <row r="257" spans="33:39">
      <c r="AG257" s="492" t="s">
        <v>993</v>
      </c>
      <c r="AH257" s="492" t="s">
        <v>131</v>
      </c>
      <c r="AI257" s="492" t="s">
        <v>1518</v>
      </c>
      <c r="AJ257" s="492">
        <v>9202014</v>
      </c>
      <c r="AK257" s="492" t="s">
        <v>1504</v>
      </c>
      <c r="AL257" s="492" t="s">
        <v>1494</v>
      </c>
      <c r="AM257" s="492" t="s">
        <v>1006</v>
      </c>
    </row>
    <row r="258" spans="33:39">
      <c r="AG258" s="492" t="s">
        <v>994</v>
      </c>
      <c r="AH258" s="492" t="s">
        <v>139</v>
      </c>
      <c r="AI258" s="492" t="s">
        <v>1519</v>
      </c>
      <c r="AJ258" s="492">
        <v>9203004</v>
      </c>
      <c r="AK258" s="492" t="s">
        <v>1493</v>
      </c>
      <c r="AL258" s="492" t="s">
        <v>1494</v>
      </c>
      <c r="AM258" s="492" t="s">
        <v>1007</v>
      </c>
    </row>
    <row r="259" spans="33:39">
      <c r="AG259" s="492" t="s">
        <v>994</v>
      </c>
      <c r="AH259" s="492" t="s">
        <v>1520</v>
      </c>
      <c r="AI259" s="492" t="s">
        <v>1521</v>
      </c>
      <c r="AJ259" s="492">
        <v>9203009</v>
      </c>
      <c r="AK259" s="492" t="s">
        <v>1493</v>
      </c>
      <c r="AL259" s="492" t="s">
        <v>1494</v>
      </c>
      <c r="AM259" s="492" t="s">
        <v>1008</v>
      </c>
    </row>
    <row r="260" spans="33:39">
      <c r="AG260" s="492" t="s">
        <v>994</v>
      </c>
      <c r="AH260" s="492" t="s">
        <v>134</v>
      </c>
      <c r="AI260" s="492" t="s">
        <v>1522</v>
      </c>
      <c r="AJ260" s="492">
        <v>9203011</v>
      </c>
      <c r="AK260" s="492" t="s">
        <v>1504</v>
      </c>
      <c r="AL260" s="492" t="s">
        <v>1494</v>
      </c>
      <c r="AM260" s="492" t="s">
        <v>1009</v>
      </c>
    </row>
    <row r="261" spans="33:39">
      <c r="AG261" s="492" t="s">
        <v>994</v>
      </c>
      <c r="AH261" s="492" t="s">
        <v>135</v>
      </c>
      <c r="AI261" s="492" t="s">
        <v>1523</v>
      </c>
      <c r="AJ261" s="492">
        <v>9203018</v>
      </c>
      <c r="AK261" s="492" t="s">
        <v>1493</v>
      </c>
      <c r="AL261" s="492" t="s">
        <v>1494</v>
      </c>
      <c r="AM261" s="492" t="s">
        <v>1010</v>
      </c>
    </row>
    <row r="262" spans="33:39">
      <c r="AG262" s="492" t="s">
        <v>994</v>
      </c>
      <c r="AH262" s="492" t="s">
        <v>1524</v>
      </c>
      <c r="AI262" s="492" t="s">
        <v>1525</v>
      </c>
      <c r="AJ262" s="492">
        <v>9203991</v>
      </c>
      <c r="AK262" s="492" t="s">
        <v>1504</v>
      </c>
      <c r="AL262" s="492" t="s">
        <v>1500</v>
      </c>
      <c r="AM262" s="492" t="s">
        <v>1011</v>
      </c>
    </row>
    <row r="263" spans="33:39">
      <c r="AG263" s="492" t="s">
        <v>994</v>
      </c>
      <c r="AH263" s="492" t="s">
        <v>1526</v>
      </c>
      <c r="AI263" s="492" t="s">
        <v>1527</v>
      </c>
      <c r="AJ263" s="492">
        <v>9203993</v>
      </c>
      <c r="AK263" s="492" t="s">
        <v>1504</v>
      </c>
      <c r="AL263" s="492" t="s">
        <v>1500</v>
      </c>
      <c r="AM263" s="492" t="s">
        <v>1012</v>
      </c>
    </row>
    <row r="264" spans="33:39">
      <c r="AG264" s="492" t="s">
        <v>995</v>
      </c>
      <c r="AH264" s="492" t="s">
        <v>1528</v>
      </c>
      <c r="AI264" s="492" t="s">
        <v>1529</v>
      </c>
      <c r="AJ264" s="492">
        <v>9204001</v>
      </c>
      <c r="AK264" s="492" t="s">
        <v>1493</v>
      </c>
      <c r="AL264" s="492" t="s">
        <v>1494</v>
      </c>
      <c r="AM264" s="492" t="s">
        <v>1013</v>
      </c>
    </row>
    <row r="265" spans="33:39">
      <c r="AG265" s="492" t="s">
        <v>995</v>
      </c>
      <c r="AH265" s="492" t="s">
        <v>137</v>
      </c>
      <c r="AI265" s="492" t="s">
        <v>1530</v>
      </c>
      <c r="AJ265" s="492">
        <v>9204005</v>
      </c>
      <c r="AK265" s="492" t="s">
        <v>1493</v>
      </c>
      <c r="AL265" s="492" t="s">
        <v>1494</v>
      </c>
      <c r="AM265" s="492" t="s">
        <v>1014</v>
      </c>
    </row>
    <row r="266" spans="33:39">
      <c r="AG266" s="492" t="s">
        <v>996</v>
      </c>
      <c r="AH266" s="492" t="s">
        <v>460</v>
      </c>
      <c r="AI266" s="492" t="s">
        <v>1531</v>
      </c>
      <c r="AJ266" s="492">
        <v>9205006</v>
      </c>
      <c r="AK266" s="492" t="s">
        <v>1493</v>
      </c>
      <c r="AL266" s="492" t="s">
        <v>1494</v>
      </c>
      <c r="AM266" s="492" t="s">
        <v>1015</v>
      </c>
    </row>
    <row r="267" spans="33:39">
      <c r="AG267" s="492" t="s">
        <v>996</v>
      </c>
      <c r="AH267" s="492" t="s">
        <v>1532</v>
      </c>
      <c r="AI267" s="492" t="s">
        <v>1533</v>
      </c>
      <c r="AJ267" s="492">
        <v>9205012</v>
      </c>
      <c r="AK267" s="492" t="s">
        <v>1504</v>
      </c>
      <c r="AL267" s="492" t="s">
        <v>1494</v>
      </c>
      <c r="AM267" s="492" t="s">
        <v>1016</v>
      </c>
    </row>
    <row r="268" spans="33:39">
      <c r="AG268" s="492" t="s">
        <v>996</v>
      </c>
      <c r="AH268" s="492" t="s">
        <v>148</v>
      </c>
      <c r="AI268" s="492" t="s">
        <v>1534</v>
      </c>
      <c r="AJ268" s="492">
        <v>9205016</v>
      </c>
      <c r="AK268" s="492" t="s">
        <v>1504</v>
      </c>
      <c r="AL268" s="492" t="s">
        <v>1500</v>
      </c>
      <c r="AM268" s="492" t="s">
        <v>1017</v>
      </c>
    </row>
    <row r="269" spans="33:39">
      <c r="AG269" s="492" t="s">
        <v>997</v>
      </c>
      <c r="AH269" s="492" t="s">
        <v>1535</v>
      </c>
      <c r="AI269" s="492" t="s">
        <v>1536</v>
      </c>
      <c r="AJ269" s="492">
        <v>9206001</v>
      </c>
      <c r="AK269" s="492" t="s">
        <v>1493</v>
      </c>
      <c r="AL269" s="492" t="s">
        <v>1494</v>
      </c>
      <c r="AM269" s="492" t="s">
        <v>1018</v>
      </c>
    </row>
    <row r="270" spans="33:39">
      <c r="AG270" s="492" t="s">
        <v>997</v>
      </c>
      <c r="AH270" s="492" t="s">
        <v>143</v>
      </c>
      <c r="AI270" s="492" t="s">
        <v>1537</v>
      </c>
      <c r="AJ270" s="492">
        <v>9206015</v>
      </c>
      <c r="AK270" s="492" t="s">
        <v>1493</v>
      </c>
      <c r="AL270" s="492" t="s">
        <v>1494</v>
      </c>
      <c r="AM270" s="492" t="s">
        <v>1019</v>
      </c>
    </row>
    <row r="271" spans="33:39">
      <c r="AG271" s="492" t="s">
        <v>997</v>
      </c>
      <c r="AH271" s="492" t="s">
        <v>144</v>
      </c>
      <c r="AI271" s="492" t="s">
        <v>1538</v>
      </c>
      <c r="AJ271" s="492">
        <v>9206019</v>
      </c>
      <c r="AK271" s="492" t="s">
        <v>1493</v>
      </c>
      <c r="AL271" s="492" t="s">
        <v>1494</v>
      </c>
      <c r="AM271" s="492" t="s">
        <v>1020</v>
      </c>
    </row>
    <row r="272" spans="33:39">
      <c r="AG272" s="492" t="s">
        <v>998</v>
      </c>
      <c r="AH272" s="492" t="s">
        <v>1539</v>
      </c>
      <c r="AI272" s="492" t="s">
        <v>1540</v>
      </c>
      <c r="AJ272" s="492">
        <v>9207001</v>
      </c>
      <c r="AK272" s="492" t="s">
        <v>1493</v>
      </c>
      <c r="AL272" s="492" t="s">
        <v>1494</v>
      </c>
      <c r="AM272" s="492" t="s">
        <v>1021</v>
      </c>
    </row>
    <row r="273" spans="33:39">
      <c r="AG273" s="492" t="s">
        <v>998</v>
      </c>
      <c r="AH273" s="492" t="s">
        <v>147</v>
      </c>
      <c r="AI273" s="492" t="s">
        <v>1541</v>
      </c>
      <c r="AJ273" s="492">
        <v>9207009</v>
      </c>
      <c r="AK273" s="492" t="s">
        <v>1493</v>
      </c>
      <c r="AL273" s="492" t="s">
        <v>1494</v>
      </c>
      <c r="AM273" s="492" t="s">
        <v>1022</v>
      </c>
    </row>
    <row r="274" spans="33:39">
      <c r="AG274" s="492" t="s">
        <v>998</v>
      </c>
      <c r="AH274" s="492" t="s">
        <v>74</v>
      </c>
      <c r="AI274" s="492" t="s">
        <v>1153</v>
      </c>
      <c r="AJ274" s="492">
        <v>9207010</v>
      </c>
      <c r="AK274" s="492" t="s">
        <v>1493</v>
      </c>
      <c r="AL274" s="492" t="s">
        <v>1509</v>
      </c>
      <c r="AM274" s="492" t="s">
        <v>1023</v>
      </c>
    </row>
    <row r="275" spans="33:39">
      <c r="AG275" s="492" t="s">
        <v>998</v>
      </c>
      <c r="AH275" s="492" t="s">
        <v>154</v>
      </c>
      <c r="AI275" s="492" t="s">
        <v>1542</v>
      </c>
      <c r="AJ275" s="492">
        <v>9207016</v>
      </c>
      <c r="AK275" s="492" t="s">
        <v>1493</v>
      </c>
      <c r="AL275" s="492" t="s">
        <v>1500</v>
      </c>
      <c r="AM275" s="492" t="s">
        <v>1543</v>
      </c>
    </row>
    <row r="276" spans="33:39">
      <c r="AG276" s="492" t="s">
        <v>998</v>
      </c>
      <c r="AH276" s="492" t="s">
        <v>1544</v>
      </c>
      <c r="AI276" s="492" t="s">
        <v>1545</v>
      </c>
      <c r="AJ276" s="492">
        <v>9207017</v>
      </c>
      <c r="AK276" s="492" t="s">
        <v>1493</v>
      </c>
      <c r="AL276" s="492" t="s">
        <v>1500</v>
      </c>
      <c r="AM276" s="492" t="s">
        <v>1024</v>
      </c>
    </row>
    <row r="277" spans="33:39">
      <c r="AG277" s="492" t="s">
        <v>998</v>
      </c>
      <c r="AH277" s="492" t="s">
        <v>1546</v>
      </c>
      <c r="AI277" s="492" t="s">
        <v>1547</v>
      </c>
      <c r="AJ277" s="492">
        <v>9207018</v>
      </c>
      <c r="AK277" s="492" t="s">
        <v>1493</v>
      </c>
      <c r="AL277" s="492" t="s">
        <v>1500</v>
      </c>
      <c r="AM277" s="492" t="s">
        <v>1025</v>
      </c>
    </row>
    <row r="278" spans="33:39">
      <c r="AG278" s="492" t="s">
        <v>998</v>
      </c>
      <c r="AH278" s="492" t="s">
        <v>1548</v>
      </c>
      <c r="AI278" s="492" t="s">
        <v>1549</v>
      </c>
      <c r="AJ278" s="492">
        <v>9207020</v>
      </c>
      <c r="AK278" s="492" t="s">
        <v>1493</v>
      </c>
      <c r="AL278" s="492" t="s">
        <v>1500</v>
      </c>
      <c r="AM278" s="492" t="s">
        <v>1026</v>
      </c>
    </row>
    <row r="279" spans="33:39">
      <c r="AG279" s="492" t="s">
        <v>999</v>
      </c>
      <c r="AH279" s="492" t="s">
        <v>150</v>
      </c>
      <c r="AI279" s="492" t="s">
        <v>1550</v>
      </c>
      <c r="AJ279" s="492">
        <v>9301008</v>
      </c>
      <c r="AK279" s="492" t="s">
        <v>1493</v>
      </c>
      <c r="AL279" s="492" t="s">
        <v>1494</v>
      </c>
      <c r="AM279" s="492" t="s">
        <v>1027</v>
      </c>
    </row>
    <row r="280" spans="33:39">
      <c r="AG280" s="492" t="s">
        <v>999</v>
      </c>
      <c r="AH280" s="492" t="s">
        <v>151</v>
      </c>
      <c r="AI280" s="492" t="s">
        <v>1551</v>
      </c>
      <c r="AJ280" s="492">
        <v>9301010</v>
      </c>
      <c r="AK280" s="492" t="s">
        <v>1493</v>
      </c>
      <c r="AL280" s="492" t="s">
        <v>1494</v>
      </c>
      <c r="AM280" s="492" t="s">
        <v>1028</v>
      </c>
    </row>
    <row r="281" spans="33:39">
      <c r="AG281" s="492" t="s">
        <v>999</v>
      </c>
      <c r="AH281" s="492" t="s">
        <v>152</v>
      </c>
      <c r="AI281" s="492" t="s">
        <v>1552</v>
      </c>
      <c r="AJ281" s="492">
        <v>9301020</v>
      </c>
      <c r="AK281" s="492" t="s">
        <v>1504</v>
      </c>
      <c r="AL281" s="492" t="s">
        <v>1494</v>
      </c>
      <c r="AM281" s="492" t="s">
        <v>1029</v>
      </c>
    </row>
    <row r="282" spans="33:39">
      <c r="AG282" s="492" t="s">
        <v>999</v>
      </c>
      <c r="AH282" s="492" t="s">
        <v>157</v>
      </c>
      <c r="AI282" s="492" t="s">
        <v>1553</v>
      </c>
      <c r="AJ282" s="492">
        <v>9301023</v>
      </c>
      <c r="AK282" s="492" t="s">
        <v>1493</v>
      </c>
      <c r="AL282" s="492" t="s">
        <v>1500</v>
      </c>
      <c r="AM282" s="492" t="s">
        <v>1030</v>
      </c>
    </row>
    <row r="283" spans="33:39">
      <c r="AG283" s="492" t="s">
        <v>999</v>
      </c>
      <c r="AH283" s="492" t="s">
        <v>160</v>
      </c>
      <c r="AI283" s="492" t="s">
        <v>1554</v>
      </c>
      <c r="AJ283" s="492">
        <v>9301026</v>
      </c>
      <c r="AK283" s="492" t="s">
        <v>1493</v>
      </c>
      <c r="AL283" s="492" t="s">
        <v>1500</v>
      </c>
      <c r="AM283" s="492" t="s">
        <v>1031</v>
      </c>
    </row>
    <row r="284" spans="33:39">
      <c r="AG284" s="492" t="s">
        <v>999</v>
      </c>
      <c r="AH284" s="492" t="s">
        <v>161</v>
      </c>
      <c r="AI284" s="492" t="s">
        <v>1555</v>
      </c>
      <c r="AJ284" s="492">
        <v>9301027</v>
      </c>
      <c r="AK284" s="492" t="s">
        <v>1504</v>
      </c>
      <c r="AL284" s="492" t="s">
        <v>1500</v>
      </c>
      <c r="AM284" s="492" t="s">
        <v>1032</v>
      </c>
    </row>
    <row r="285" spans="33:39">
      <c r="AG285" s="492" t="s">
        <v>999</v>
      </c>
      <c r="AH285" s="492" t="s">
        <v>163</v>
      </c>
      <c r="AI285" s="492" t="s">
        <v>1556</v>
      </c>
      <c r="AJ285" s="492">
        <v>9301028</v>
      </c>
      <c r="AK285" s="492" t="s">
        <v>1493</v>
      </c>
      <c r="AL285" s="492" t="s">
        <v>1500</v>
      </c>
      <c r="AM285" s="492" t="s">
        <v>1033</v>
      </c>
    </row>
    <row r="286" spans="33:39">
      <c r="AG286" s="492" t="s">
        <v>999</v>
      </c>
      <c r="AH286" s="492" t="s">
        <v>1557</v>
      </c>
      <c r="AI286" s="492" t="s">
        <v>1558</v>
      </c>
      <c r="AJ286" s="492">
        <v>9301036</v>
      </c>
      <c r="AK286" s="492" t="s">
        <v>1493</v>
      </c>
      <c r="AL286" s="492" t="s">
        <v>1500</v>
      </c>
      <c r="AM286" s="492" t="s">
        <v>1034</v>
      </c>
    </row>
    <row r="287" spans="33:39">
      <c r="AG287" s="492" t="s">
        <v>999</v>
      </c>
      <c r="AH287" s="492" t="s">
        <v>1559</v>
      </c>
      <c r="AI287" s="492" t="s">
        <v>1560</v>
      </c>
      <c r="AJ287" s="492">
        <v>9301037</v>
      </c>
      <c r="AK287" s="492" t="s">
        <v>1493</v>
      </c>
      <c r="AL287" s="492" t="s">
        <v>1500</v>
      </c>
    </row>
    <row r="288" spans="33:39">
      <c r="AG288" s="492" t="s">
        <v>999</v>
      </c>
      <c r="AH288" s="492" t="s">
        <v>1561</v>
      </c>
      <c r="AI288" s="492" t="s">
        <v>1562</v>
      </c>
      <c r="AJ288" s="492">
        <v>9301990</v>
      </c>
      <c r="AK288" s="492" t="s">
        <v>1504</v>
      </c>
      <c r="AL288" s="492" t="s">
        <v>1500</v>
      </c>
    </row>
    <row r="289" spans="33:38">
      <c r="AG289" s="492" t="s">
        <v>999</v>
      </c>
      <c r="AH289" s="492" t="s">
        <v>1563</v>
      </c>
      <c r="AI289" s="492" t="s">
        <v>1564</v>
      </c>
      <c r="AJ289" s="492">
        <v>9301991</v>
      </c>
      <c r="AK289" s="492" t="s">
        <v>1504</v>
      </c>
      <c r="AL289" s="492" t="s">
        <v>1500</v>
      </c>
    </row>
    <row r="290" spans="33:38">
      <c r="AG290" s="492" t="s">
        <v>999</v>
      </c>
      <c r="AH290" s="492" t="s">
        <v>1565</v>
      </c>
      <c r="AI290" s="492" t="s">
        <v>1566</v>
      </c>
      <c r="AJ290" s="492">
        <v>9301992</v>
      </c>
      <c r="AK290" s="492" t="s">
        <v>1504</v>
      </c>
      <c r="AL290" s="492" t="s">
        <v>1500</v>
      </c>
    </row>
    <row r="291" spans="33:38">
      <c r="AG291" s="492" t="s">
        <v>999</v>
      </c>
      <c r="AH291" s="492" t="s">
        <v>1567</v>
      </c>
      <c r="AI291" s="492" t="s">
        <v>1568</v>
      </c>
      <c r="AJ291" s="492">
        <v>9301993</v>
      </c>
      <c r="AK291" s="492" t="s">
        <v>1504</v>
      </c>
      <c r="AL291" s="492" t="s">
        <v>1500</v>
      </c>
    </row>
    <row r="292" spans="33:38">
      <c r="AG292" s="492" t="s">
        <v>1000</v>
      </c>
      <c r="AH292" s="492" t="s">
        <v>1569</v>
      </c>
      <c r="AI292" s="492" t="s">
        <v>1570</v>
      </c>
      <c r="AJ292" s="492">
        <v>9302990</v>
      </c>
      <c r="AK292" s="492" t="s">
        <v>1504</v>
      </c>
      <c r="AL292" s="492" t="s">
        <v>1500</v>
      </c>
    </row>
    <row r="293" spans="33:38">
      <c r="AG293" s="492" t="s">
        <v>1001</v>
      </c>
      <c r="AH293" s="492" t="s">
        <v>1571</v>
      </c>
      <c r="AI293" s="492" t="s">
        <v>1572</v>
      </c>
      <c r="AJ293" s="492">
        <v>9303993</v>
      </c>
      <c r="AK293" s="492" t="s">
        <v>1504</v>
      </c>
      <c r="AL293" s="492" t="s">
        <v>1500</v>
      </c>
    </row>
    <row r="294" spans="33:38">
      <c r="AG294" s="492" t="s">
        <v>1002</v>
      </c>
      <c r="AH294" s="492" t="s">
        <v>156</v>
      </c>
      <c r="AI294" s="492" t="s">
        <v>1573</v>
      </c>
      <c r="AJ294" s="492">
        <v>9304011</v>
      </c>
      <c r="AK294" s="492" t="s">
        <v>1493</v>
      </c>
      <c r="AL294" s="492" t="s">
        <v>1494</v>
      </c>
    </row>
    <row r="295" spans="33:38">
      <c r="AG295" s="492" t="s">
        <v>1002</v>
      </c>
      <c r="AH295" s="492" t="s">
        <v>1574</v>
      </c>
      <c r="AI295" s="492" t="s">
        <v>1575</v>
      </c>
      <c r="AJ295" s="492">
        <v>9304012</v>
      </c>
      <c r="AK295" s="492" t="s">
        <v>1493</v>
      </c>
      <c r="AL295" s="492" t="s">
        <v>1494</v>
      </c>
    </row>
    <row r="296" spans="33:38">
      <c r="AG296" s="492" t="s">
        <v>1002</v>
      </c>
      <c r="AH296" s="492" t="s">
        <v>158</v>
      </c>
      <c r="AI296" s="492" t="s">
        <v>1576</v>
      </c>
      <c r="AJ296" s="492">
        <v>9304041</v>
      </c>
      <c r="AK296" s="492" t="s">
        <v>1493</v>
      </c>
      <c r="AL296" s="492" t="s">
        <v>1494</v>
      </c>
    </row>
    <row r="297" spans="33:38">
      <c r="AG297" s="492" t="s">
        <v>1002</v>
      </c>
      <c r="AH297" s="492" t="s">
        <v>162</v>
      </c>
      <c r="AI297" s="492" t="s">
        <v>1577</v>
      </c>
      <c r="AJ297" s="492">
        <v>9304047</v>
      </c>
      <c r="AK297" s="492" t="s">
        <v>1493</v>
      </c>
      <c r="AL297" s="492" t="s">
        <v>1494</v>
      </c>
    </row>
    <row r="298" spans="33:38">
      <c r="AG298" s="492" t="s">
        <v>1002</v>
      </c>
      <c r="AH298" s="492" t="s">
        <v>170</v>
      </c>
      <c r="AI298" s="492" t="s">
        <v>1578</v>
      </c>
      <c r="AJ298" s="492">
        <v>9304050</v>
      </c>
      <c r="AK298" s="492" t="s">
        <v>1504</v>
      </c>
      <c r="AL298" s="492" t="s">
        <v>1500</v>
      </c>
    </row>
    <row r="299" spans="33:38">
      <c r="AG299" s="492" t="s">
        <v>1002</v>
      </c>
      <c r="AH299" s="492" t="s">
        <v>171</v>
      </c>
      <c r="AI299" s="492" t="s">
        <v>1579</v>
      </c>
      <c r="AJ299" s="492">
        <v>9304051</v>
      </c>
      <c r="AK299" s="492" t="s">
        <v>1493</v>
      </c>
      <c r="AL299" s="492" t="s">
        <v>1500</v>
      </c>
    </row>
    <row r="300" spans="33:38">
      <c r="AG300" s="492" t="s">
        <v>1002</v>
      </c>
      <c r="AH300" s="492" t="s">
        <v>172</v>
      </c>
      <c r="AI300" s="492" t="s">
        <v>1580</v>
      </c>
      <c r="AJ300" s="492">
        <v>9304996</v>
      </c>
      <c r="AK300" s="492" t="s">
        <v>1493</v>
      </c>
      <c r="AL300" s="492" t="s">
        <v>1500</v>
      </c>
    </row>
    <row r="301" spans="33:38">
      <c r="AG301" s="492" t="s">
        <v>1002</v>
      </c>
      <c r="AH301" s="492" t="s">
        <v>1581</v>
      </c>
      <c r="AI301" s="492" t="s">
        <v>1582</v>
      </c>
      <c r="AJ301" s="492">
        <v>9304054</v>
      </c>
      <c r="AK301" s="492" t="s">
        <v>1493</v>
      </c>
      <c r="AL301" s="492" t="s">
        <v>1500</v>
      </c>
    </row>
    <row r="302" spans="33:38">
      <c r="AG302" s="492" t="s">
        <v>1002</v>
      </c>
      <c r="AH302" s="492" t="s">
        <v>173</v>
      </c>
      <c r="AI302" s="492" t="s">
        <v>1583</v>
      </c>
      <c r="AJ302" s="492">
        <v>9304056</v>
      </c>
      <c r="AK302" s="492" t="s">
        <v>1504</v>
      </c>
      <c r="AL302" s="492" t="s">
        <v>1500</v>
      </c>
    </row>
    <row r="303" spans="33:38">
      <c r="AG303" s="492" t="s">
        <v>1002</v>
      </c>
      <c r="AH303" s="492" t="s">
        <v>174</v>
      </c>
      <c r="AI303" s="492" t="s">
        <v>1584</v>
      </c>
      <c r="AJ303" s="492">
        <v>9304991</v>
      </c>
      <c r="AK303" s="492" t="s">
        <v>1504</v>
      </c>
      <c r="AL303" s="492" t="s">
        <v>1500</v>
      </c>
    </row>
    <row r="304" spans="33:38">
      <c r="AG304" s="492" t="s">
        <v>1002</v>
      </c>
      <c r="AH304" s="492" t="s">
        <v>175</v>
      </c>
      <c r="AI304" s="492" t="s">
        <v>1585</v>
      </c>
      <c r="AJ304" s="492">
        <v>9304992</v>
      </c>
      <c r="AK304" s="492" t="s">
        <v>1504</v>
      </c>
      <c r="AL304" s="492" t="s">
        <v>1500</v>
      </c>
    </row>
    <row r="305" spans="33:38">
      <c r="AG305" s="492" t="s">
        <v>1002</v>
      </c>
      <c r="AH305" s="492" t="s">
        <v>1586</v>
      </c>
      <c r="AI305" s="492" t="s">
        <v>1587</v>
      </c>
      <c r="AJ305" s="492">
        <v>9304993</v>
      </c>
      <c r="AK305" s="492" t="s">
        <v>1504</v>
      </c>
      <c r="AL305" s="492" t="s">
        <v>1500</v>
      </c>
    </row>
    <row r="306" spans="33:38">
      <c r="AG306" s="492" t="s">
        <v>1002</v>
      </c>
      <c r="AH306" s="492" t="s">
        <v>179</v>
      </c>
      <c r="AI306" s="492" t="s">
        <v>1588</v>
      </c>
      <c r="AJ306" s="492">
        <v>9304994</v>
      </c>
      <c r="AK306" s="492" t="s">
        <v>1504</v>
      </c>
      <c r="AL306" s="492" t="s">
        <v>1500</v>
      </c>
    </row>
    <row r="307" spans="33:38">
      <c r="AG307" s="492" t="s">
        <v>1003</v>
      </c>
      <c r="AH307" s="492" t="s">
        <v>165</v>
      </c>
      <c r="AI307" s="492" t="s">
        <v>1589</v>
      </c>
      <c r="AJ307" s="492">
        <v>9305015</v>
      </c>
      <c r="AK307" s="492" t="s">
        <v>1493</v>
      </c>
      <c r="AL307" s="492" t="s">
        <v>1494</v>
      </c>
    </row>
    <row r="308" spans="33:38">
      <c r="AG308" s="492" t="s">
        <v>1003</v>
      </c>
      <c r="AH308" s="492" t="s">
        <v>167</v>
      </c>
      <c r="AI308" s="492" t="s">
        <v>1590</v>
      </c>
      <c r="AJ308" s="492">
        <v>9305020</v>
      </c>
      <c r="AK308" s="492" t="s">
        <v>1504</v>
      </c>
      <c r="AL308" s="492" t="s">
        <v>1494</v>
      </c>
    </row>
    <row r="309" spans="33:38">
      <c r="AG309" s="492" t="s">
        <v>1003</v>
      </c>
      <c r="AH309" s="492" t="s">
        <v>531</v>
      </c>
      <c r="AI309" s="492" t="s">
        <v>1591</v>
      </c>
      <c r="AJ309" s="492">
        <v>9305023</v>
      </c>
      <c r="AK309" s="492" t="s">
        <v>1493</v>
      </c>
      <c r="AL309" s="492" t="s">
        <v>1494</v>
      </c>
    </row>
    <row r="310" spans="33:38">
      <c r="AG310" s="492" t="s">
        <v>1003</v>
      </c>
      <c r="AH310" s="492" t="s">
        <v>187</v>
      </c>
      <c r="AI310" s="492" t="s">
        <v>1592</v>
      </c>
      <c r="AJ310" s="492">
        <v>9305059</v>
      </c>
      <c r="AK310" s="492" t="s">
        <v>1493</v>
      </c>
      <c r="AL310" s="492" t="s">
        <v>1500</v>
      </c>
    </row>
    <row r="311" spans="33:38">
      <c r="AG311" s="492" t="s">
        <v>1003</v>
      </c>
      <c r="AH311" s="492" t="s">
        <v>188</v>
      </c>
      <c r="AI311" s="492" t="s">
        <v>1593</v>
      </c>
      <c r="AJ311" s="492">
        <v>9305061</v>
      </c>
      <c r="AK311" s="492" t="s">
        <v>1493</v>
      </c>
      <c r="AL311" s="492" t="s">
        <v>1500</v>
      </c>
    </row>
    <row r="312" spans="33:38">
      <c r="AG312" s="492" t="s">
        <v>1003</v>
      </c>
      <c r="AH312" s="492" t="s">
        <v>189</v>
      </c>
      <c r="AI312" s="492" t="s">
        <v>1594</v>
      </c>
      <c r="AJ312" s="492">
        <v>9305062</v>
      </c>
      <c r="AK312" s="492" t="s">
        <v>1493</v>
      </c>
      <c r="AL312" s="492" t="s">
        <v>1500</v>
      </c>
    </row>
    <row r="313" spans="33:38">
      <c r="AG313" s="492" t="s">
        <v>1003</v>
      </c>
      <c r="AH313" s="492" t="s">
        <v>190</v>
      </c>
      <c r="AI313" s="492" t="s">
        <v>1595</v>
      </c>
      <c r="AJ313" s="492">
        <v>9305063</v>
      </c>
      <c r="AK313" s="492" t="s">
        <v>1493</v>
      </c>
      <c r="AL313" s="492" t="s">
        <v>1500</v>
      </c>
    </row>
    <row r="314" spans="33:38">
      <c r="AG314" s="492" t="s">
        <v>1003</v>
      </c>
      <c r="AH314" s="492" t="s">
        <v>1596</v>
      </c>
      <c r="AI314" s="492" t="s">
        <v>1597</v>
      </c>
      <c r="AJ314" s="492">
        <v>9305064</v>
      </c>
      <c r="AK314" s="492" t="s">
        <v>1504</v>
      </c>
      <c r="AL314" s="492" t="s">
        <v>1500</v>
      </c>
    </row>
    <row r="315" spans="33:38">
      <c r="AG315" s="492" t="s">
        <v>1003</v>
      </c>
      <c r="AH315" s="492" t="s">
        <v>1598</v>
      </c>
      <c r="AI315" s="492" t="s">
        <v>1599</v>
      </c>
      <c r="AJ315" s="492">
        <v>9305066</v>
      </c>
      <c r="AK315" s="492" t="s">
        <v>1504</v>
      </c>
      <c r="AL315" s="492" t="s">
        <v>1500</v>
      </c>
    </row>
    <row r="316" spans="33:38">
      <c r="AG316" s="492" t="s">
        <v>1003</v>
      </c>
      <c r="AH316" s="492" t="s">
        <v>1600</v>
      </c>
      <c r="AI316" s="492" t="s">
        <v>1601</v>
      </c>
      <c r="AJ316" s="492">
        <v>9305067</v>
      </c>
      <c r="AK316" s="492" t="s">
        <v>1504</v>
      </c>
      <c r="AL316" s="492" t="s">
        <v>1500</v>
      </c>
    </row>
    <row r="317" spans="33:38">
      <c r="AG317" s="492" t="s">
        <v>1004</v>
      </c>
      <c r="AH317" s="492" t="s">
        <v>196</v>
      </c>
      <c r="AI317" s="492" t="s">
        <v>1602</v>
      </c>
      <c r="AJ317" s="492">
        <v>9306025</v>
      </c>
      <c r="AK317" s="492" t="s">
        <v>1493</v>
      </c>
      <c r="AL317" s="492" t="s">
        <v>1500</v>
      </c>
    </row>
    <row r="318" spans="33:38">
      <c r="AG318" s="492" t="s">
        <v>1004</v>
      </c>
      <c r="AH318" s="492" t="s">
        <v>204</v>
      </c>
      <c r="AI318" s="492" t="s">
        <v>1603</v>
      </c>
      <c r="AJ318" s="492">
        <v>9306077</v>
      </c>
      <c r="AK318" s="492" t="s">
        <v>1493</v>
      </c>
      <c r="AL318" s="492" t="s">
        <v>1500</v>
      </c>
    </row>
    <row r="319" spans="33:38">
      <c r="AG319" s="492" t="s">
        <v>1004</v>
      </c>
      <c r="AH319" s="492" t="s">
        <v>206</v>
      </c>
      <c r="AI319" s="492" t="s">
        <v>1604</v>
      </c>
      <c r="AJ319" s="492">
        <v>9306082</v>
      </c>
      <c r="AK319" s="492" t="s">
        <v>1504</v>
      </c>
      <c r="AL319" s="492" t="s">
        <v>1500</v>
      </c>
    </row>
    <row r="320" spans="33:38">
      <c r="AG320" s="492" t="s">
        <v>1004</v>
      </c>
      <c r="AH320" s="492" t="s">
        <v>181</v>
      </c>
      <c r="AI320" s="492" t="s">
        <v>1605</v>
      </c>
      <c r="AJ320" s="492">
        <v>9306085</v>
      </c>
      <c r="AK320" s="492" t="s">
        <v>1493</v>
      </c>
      <c r="AL320" s="492" t="s">
        <v>1494</v>
      </c>
    </row>
    <row r="321" spans="33:38">
      <c r="AG321" s="492" t="s">
        <v>1045</v>
      </c>
      <c r="AH321" s="492" t="s">
        <v>1606</v>
      </c>
      <c r="AI321" s="492" t="s">
        <v>1607</v>
      </c>
      <c r="AJ321" s="492">
        <v>9401022</v>
      </c>
      <c r="AK321" s="492" t="s">
        <v>1493</v>
      </c>
      <c r="AL321" s="492" t="s">
        <v>1500</v>
      </c>
    </row>
    <row r="322" spans="33:38">
      <c r="AG322" s="492" t="s">
        <v>1045</v>
      </c>
      <c r="AH322" s="492" t="s">
        <v>213</v>
      </c>
      <c r="AI322" s="492" t="s">
        <v>1608</v>
      </c>
      <c r="AJ322" s="492">
        <v>9403014</v>
      </c>
      <c r="AK322" s="492" t="s">
        <v>1493</v>
      </c>
      <c r="AL322" s="492" t="s">
        <v>1500</v>
      </c>
    </row>
    <row r="323" spans="33:38">
      <c r="AG323" s="492" t="s">
        <v>1045</v>
      </c>
      <c r="AH323" s="492" t="s">
        <v>195</v>
      </c>
      <c r="AI323" s="492" t="s">
        <v>1609</v>
      </c>
      <c r="AJ323" s="492">
        <v>9405015</v>
      </c>
      <c r="AK323" s="492" t="s">
        <v>1493</v>
      </c>
      <c r="AL323" s="492" t="s">
        <v>1494</v>
      </c>
    </row>
    <row r="324" spans="33:38">
      <c r="AG324" s="492" t="s">
        <v>1045</v>
      </c>
      <c r="AH324" s="492" t="s">
        <v>226</v>
      </c>
      <c r="AI324" s="492" t="s">
        <v>1610</v>
      </c>
      <c r="AJ324" s="492">
        <v>9406012</v>
      </c>
      <c r="AK324" s="492" t="s">
        <v>1493</v>
      </c>
      <c r="AL324" s="492" t="s">
        <v>1500</v>
      </c>
    </row>
    <row r="325" spans="33:38">
      <c r="AG325" s="492" t="s">
        <v>1045</v>
      </c>
      <c r="AH325" s="492" t="s">
        <v>601</v>
      </c>
      <c r="AI325" s="492" t="s">
        <v>1611</v>
      </c>
      <c r="AJ325" s="492">
        <v>9407015</v>
      </c>
      <c r="AK325" s="492" t="s">
        <v>1493</v>
      </c>
      <c r="AL325" s="492" t="s">
        <v>1494</v>
      </c>
    </row>
    <row r="326" spans="33:38">
      <c r="AG326" s="492" t="s">
        <v>1045</v>
      </c>
      <c r="AH326" s="492" t="s">
        <v>202</v>
      </c>
      <c r="AI326" s="492" t="s">
        <v>1612</v>
      </c>
      <c r="AJ326" s="492">
        <v>9408002</v>
      </c>
      <c r="AK326" s="492" t="s">
        <v>1493</v>
      </c>
      <c r="AL326" s="492" t="s">
        <v>1494</v>
      </c>
    </row>
    <row r="327" spans="33:38">
      <c r="AG327" s="492" t="s">
        <v>1045</v>
      </c>
      <c r="AH327" s="492" t="s">
        <v>212</v>
      </c>
      <c r="AI327" s="492" t="s">
        <v>1613</v>
      </c>
      <c r="AJ327" s="492">
        <v>9411003</v>
      </c>
      <c r="AK327" s="492" t="s">
        <v>1493</v>
      </c>
      <c r="AL327" s="492" t="s">
        <v>1494</v>
      </c>
    </row>
    <row r="328" spans="33:38">
      <c r="AG328" s="492" t="s">
        <v>1045</v>
      </c>
      <c r="AH328" s="492" t="s">
        <v>236</v>
      </c>
      <c r="AI328" s="492" t="s">
        <v>1614</v>
      </c>
      <c r="AJ328" s="492">
        <v>9411023</v>
      </c>
      <c r="AK328" s="492" t="s">
        <v>1493</v>
      </c>
      <c r="AL328" s="492" t="s">
        <v>1500</v>
      </c>
    </row>
    <row r="329" spans="33:38">
      <c r="AG329" s="492" t="s">
        <v>1517</v>
      </c>
      <c r="AH329" s="492" t="s">
        <v>1615</v>
      </c>
      <c r="AI329" s="492" t="s">
        <v>1616</v>
      </c>
      <c r="AJ329" s="492">
        <v>9501007</v>
      </c>
      <c r="AK329" s="492" t="s">
        <v>1493</v>
      </c>
      <c r="AL329" s="492" t="s">
        <v>1494</v>
      </c>
    </row>
    <row r="330" spans="33:38">
      <c r="AG330" s="492" t="s">
        <v>1006</v>
      </c>
      <c r="AH330" s="492" t="s">
        <v>215</v>
      </c>
      <c r="AI330" s="492" t="s">
        <v>1617</v>
      </c>
      <c r="AJ330" s="492">
        <v>9503004</v>
      </c>
      <c r="AK330" s="492" t="s">
        <v>1493</v>
      </c>
      <c r="AL330" s="492" t="s">
        <v>1494</v>
      </c>
    </row>
    <row r="331" spans="33:38">
      <c r="AG331" s="492" t="s">
        <v>1006</v>
      </c>
      <c r="AH331" s="492" t="s">
        <v>1618</v>
      </c>
      <c r="AI331" s="492" t="s">
        <v>1619</v>
      </c>
      <c r="AJ331" s="492">
        <v>9503992</v>
      </c>
      <c r="AK331" s="492" t="s">
        <v>1504</v>
      </c>
      <c r="AL331" s="492" t="s">
        <v>1500</v>
      </c>
    </row>
    <row r="332" spans="33:38">
      <c r="AG332" s="492" t="s">
        <v>1007</v>
      </c>
      <c r="AH332" s="492" t="s">
        <v>658</v>
      </c>
      <c r="AI332" s="492" t="s">
        <v>1620</v>
      </c>
      <c r="AJ332" s="492">
        <v>9504001</v>
      </c>
      <c r="AK332" s="492" t="s">
        <v>1493</v>
      </c>
      <c r="AL332" s="492" t="s">
        <v>1494</v>
      </c>
    </row>
    <row r="333" spans="33:38">
      <c r="AG333" s="492" t="s">
        <v>1007</v>
      </c>
      <c r="AH333" s="492" t="s">
        <v>217</v>
      </c>
      <c r="AI333" s="492" t="s">
        <v>1621</v>
      </c>
      <c r="AJ333" s="492">
        <v>9504002</v>
      </c>
      <c r="AK333" s="492" t="s">
        <v>1493</v>
      </c>
      <c r="AL333" s="492" t="s">
        <v>1494</v>
      </c>
    </row>
    <row r="334" spans="33:38">
      <c r="AG334" s="492" t="s">
        <v>1007</v>
      </c>
      <c r="AH334" s="492" t="s">
        <v>218</v>
      </c>
      <c r="AI334" s="492" t="s">
        <v>1622</v>
      </c>
      <c r="AJ334" s="492">
        <v>9504003</v>
      </c>
      <c r="AK334" s="492" t="s">
        <v>1493</v>
      </c>
      <c r="AL334" s="492" t="s">
        <v>1494</v>
      </c>
    </row>
    <row r="335" spans="33:38">
      <c r="AG335" s="492" t="s">
        <v>1007</v>
      </c>
      <c r="AH335" s="492" t="s">
        <v>219</v>
      </c>
      <c r="AI335" s="492" t="s">
        <v>1623</v>
      </c>
      <c r="AJ335" s="492">
        <v>9504004</v>
      </c>
      <c r="AK335" s="492" t="s">
        <v>1493</v>
      </c>
      <c r="AL335" s="492" t="s">
        <v>1494</v>
      </c>
    </row>
    <row r="336" spans="33:38">
      <c r="AG336" s="492" t="s">
        <v>1007</v>
      </c>
      <c r="AH336" s="492" t="s">
        <v>220</v>
      </c>
      <c r="AI336" s="492" t="s">
        <v>1624</v>
      </c>
      <c r="AJ336" s="492">
        <v>9504008</v>
      </c>
      <c r="AK336" s="492" t="s">
        <v>1493</v>
      </c>
      <c r="AL336" s="492" t="s">
        <v>1494</v>
      </c>
    </row>
    <row r="337" spans="33:38">
      <c r="AG337" s="492" t="s">
        <v>1007</v>
      </c>
      <c r="AH337" s="492" t="s">
        <v>1625</v>
      </c>
      <c r="AI337" s="492" t="s">
        <v>1626</v>
      </c>
      <c r="AJ337" s="492">
        <v>9504009</v>
      </c>
      <c r="AK337" s="492" t="s">
        <v>1493</v>
      </c>
      <c r="AL337" s="492" t="s">
        <v>1494</v>
      </c>
    </row>
    <row r="338" spans="33:38">
      <c r="AG338" s="492" t="s">
        <v>1007</v>
      </c>
      <c r="AH338" s="492" t="s">
        <v>221</v>
      </c>
      <c r="AI338" s="492" t="s">
        <v>1039</v>
      </c>
      <c r="AJ338" s="492">
        <v>9504011</v>
      </c>
      <c r="AK338" s="492" t="s">
        <v>1493</v>
      </c>
      <c r="AL338" s="492" t="s">
        <v>1494</v>
      </c>
    </row>
    <row r="339" spans="33:38">
      <c r="AG339" s="492" t="s">
        <v>1008</v>
      </c>
      <c r="AH339" s="492" t="s">
        <v>222</v>
      </c>
      <c r="AI339" s="492" t="s">
        <v>1627</v>
      </c>
      <c r="AJ339" s="492">
        <v>9505003</v>
      </c>
      <c r="AK339" s="492" t="s">
        <v>1493</v>
      </c>
      <c r="AL339" s="492" t="s">
        <v>1494</v>
      </c>
    </row>
    <row r="340" spans="33:38">
      <c r="AG340" s="492" t="s">
        <v>1008</v>
      </c>
      <c r="AH340" s="492" t="s">
        <v>681</v>
      </c>
      <c r="AI340" s="492" t="s">
        <v>1628</v>
      </c>
      <c r="AJ340" s="492">
        <v>9505005</v>
      </c>
      <c r="AK340" s="492" t="s">
        <v>1493</v>
      </c>
      <c r="AL340" s="492" t="s">
        <v>1494</v>
      </c>
    </row>
    <row r="341" spans="33:38">
      <c r="AG341" s="492" t="s">
        <v>1008</v>
      </c>
      <c r="AH341" s="492" t="s">
        <v>1629</v>
      </c>
      <c r="AI341" s="492" t="s">
        <v>1630</v>
      </c>
      <c r="AJ341" s="492">
        <v>9505006</v>
      </c>
      <c r="AK341" s="492" t="s">
        <v>1493</v>
      </c>
      <c r="AL341" s="492" t="s">
        <v>1494</v>
      </c>
    </row>
    <row r="342" spans="33:38">
      <c r="AG342" s="492" t="s">
        <v>1008</v>
      </c>
      <c r="AH342" s="492" t="s">
        <v>223</v>
      </c>
      <c r="AI342" s="492" t="s">
        <v>1631</v>
      </c>
      <c r="AJ342" s="492">
        <v>9505010</v>
      </c>
      <c r="AK342" s="492" t="s">
        <v>1493</v>
      </c>
      <c r="AL342" s="492" t="s">
        <v>1494</v>
      </c>
    </row>
    <row r="343" spans="33:38">
      <c r="AG343" s="492" t="s">
        <v>1008</v>
      </c>
      <c r="AH343" s="492" t="s">
        <v>224</v>
      </c>
      <c r="AI343" s="492" t="s">
        <v>1632</v>
      </c>
      <c r="AJ343" s="492">
        <v>9505011</v>
      </c>
      <c r="AK343" s="492" t="s">
        <v>1493</v>
      </c>
      <c r="AL343" s="492" t="s">
        <v>1494</v>
      </c>
    </row>
    <row r="344" spans="33:38">
      <c r="AG344" s="492" t="s">
        <v>1008</v>
      </c>
      <c r="AH344" s="492" t="s">
        <v>249</v>
      </c>
      <c r="AI344" s="492" t="s">
        <v>1633</v>
      </c>
      <c r="AJ344" s="492">
        <v>9505019</v>
      </c>
      <c r="AK344" s="492" t="s">
        <v>1493</v>
      </c>
      <c r="AL344" s="492" t="s">
        <v>1500</v>
      </c>
    </row>
    <row r="345" spans="33:38">
      <c r="AG345" s="492" t="s">
        <v>1008</v>
      </c>
      <c r="AH345" s="492" t="s">
        <v>250</v>
      </c>
      <c r="AI345" s="492" t="s">
        <v>1634</v>
      </c>
      <c r="AJ345" s="492">
        <v>9505020</v>
      </c>
      <c r="AK345" s="492" t="s">
        <v>1493</v>
      </c>
      <c r="AL345" s="492" t="s">
        <v>1500</v>
      </c>
    </row>
    <row r="346" spans="33:38">
      <c r="AG346" s="492" t="s">
        <v>1008</v>
      </c>
      <c r="AH346" s="492" t="s">
        <v>1635</v>
      </c>
      <c r="AI346" s="492" t="s">
        <v>1636</v>
      </c>
      <c r="AJ346" s="492">
        <v>9505024</v>
      </c>
      <c r="AK346" s="492" t="s">
        <v>1493</v>
      </c>
      <c r="AL346" s="492" t="s">
        <v>1500</v>
      </c>
    </row>
    <row r="347" spans="33:38">
      <c r="AG347" s="492" t="s">
        <v>1008</v>
      </c>
      <c r="AH347" s="492" t="s">
        <v>1637</v>
      </c>
      <c r="AI347" s="492" t="s">
        <v>1638</v>
      </c>
      <c r="AJ347" s="492">
        <v>9505026</v>
      </c>
      <c r="AK347" s="492" t="s">
        <v>1504</v>
      </c>
      <c r="AL347" s="492" t="s">
        <v>1500</v>
      </c>
    </row>
    <row r="348" spans="33:38">
      <c r="AG348" s="492" t="s">
        <v>1008</v>
      </c>
      <c r="AH348" s="492" t="s">
        <v>1639</v>
      </c>
      <c r="AI348" s="492" t="s">
        <v>1640</v>
      </c>
      <c r="AJ348" s="492">
        <v>9505027</v>
      </c>
      <c r="AK348" s="492" t="s">
        <v>1493</v>
      </c>
      <c r="AL348" s="492" t="s">
        <v>1500</v>
      </c>
    </row>
    <row r="349" spans="33:38">
      <c r="AG349" s="492" t="s">
        <v>1008</v>
      </c>
      <c r="AH349" s="492" t="s">
        <v>1641</v>
      </c>
      <c r="AI349" s="492" t="s">
        <v>1642</v>
      </c>
      <c r="AJ349" s="492">
        <v>9505029</v>
      </c>
      <c r="AK349" s="492" t="s">
        <v>1493</v>
      </c>
      <c r="AL349" s="492" t="s">
        <v>1500</v>
      </c>
    </row>
    <row r="350" spans="33:38">
      <c r="AG350" s="492" t="s">
        <v>1008</v>
      </c>
      <c r="AH350" s="492" t="s">
        <v>1643</v>
      </c>
      <c r="AI350" s="492" t="s">
        <v>1644</v>
      </c>
      <c r="AJ350" s="492">
        <v>9505030</v>
      </c>
      <c r="AK350" s="492" t="s">
        <v>1504</v>
      </c>
      <c r="AL350" s="492" t="s">
        <v>1500</v>
      </c>
    </row>
    <row r="351" spans="33:38">
      <c r="AG351" s="492" t="s">
        <v>1008</v>
      </c>
      <c r="AH351" s="492" t="s">
        <v>1645</v>
      </c>
      <c r="AI351" s="492" t="s">
        <v>1646</v>
      </c>
      <c r="AJ351" s="492">
        <v>9505991</v>
      </c>
      <c r="AK351" s="492" t="s">
        <v>1504</v>
      </c>
      <c r="AL351" s="492" t="s">
        <v>1500</v>
      </c>
    </row>
    <row r="352" spans="33:38">
      <c r="AG352" s="492" t="s">
        <v>1008</v>
      </c>
      <c r="AH352" s="492" t="s">
        <v>712</v>
      </c>
      <c r="AI352" s="492" t="s">
        <v>1647</v>
      </c>
      <c r="AJ352" s="492">
        <v>9505994</v>
      </c>
      <c r="AK352" s="492" t="s">
        <v>1504</v>
      </c>
      <c r="AL352" s="492" t="s">
        <v>1500</v>
      </c>
    </row>
    <row r="353" spans="33:38">
      <c r="AG353" s="492" t="s">
        <v>1009</v>
      </c>
      <c r="AH353" s="492" t="s">
        <v>715</v>
      </c>
      <c r="AI353" s="492" t="s">
        <v>1648</v>
      </c>
      <c r="AJ353" s="492">
        <v>9506012</v>
      </c>
      <c r="AK353" s="492" t="s">
        <v>1493</v>
      </c>
      <c r="AL353" s="492" t="s">
        <v>1494</v>
      </c>
    </row>
    <row r="354" spans="33:38">
      <c r="AG354" s="492" t="s">
        <v>1009</v>
      </c>
      <c r="AH354" s="492" t="s">
        <v>252</v>
      </c>
      <c r="AI354" s="492" t="s">
        <v>1649</v>
      </c>
      <c r="AJ354" s="492">
        <v>9506017</v>
      </c>
      <c r="AK354" s="492" t="s">
        <v>1493</v>
      </c>
      <c r="AL354" s="492" t="s">
        <v>1500</v>
      </c>
    </row>
    <row r="355" spans="33:38">
      <c r="AG355" s="492" t="s">
        <v>1009</v>
      </c>
      <c r="AH355" s="492" t="s">
        <v>253</v>
      </c>
      <c r="AI355" s="492" t="s">
        <v>1650</v>
      </c>
      <c r="AJ355" s="492">
        <v>9506018</v>
      </c>
      <c r="AK355" s="492" t="s">
        <v>1493</v>
      </c>
      <c r="AL355" s="492" t="s">
        <v>1500</v>
      </c>
    </row>
    <row r="356" spans="33:38">
      <c r="AG356" s="492" t="s">
        <v>1009</v>
      </c>
      <c r="AH356" s="492" t="s">
        <v>1651</v>
      </c>
      <c r="AI356" s="492" t="s">
        <v>1652</v>
      </c>
      <c r="AJ356" s="492">
        <v>9506020</v>
      </c>
      <c r="AK356" s="492" t="s">
        <v>1493</v>
      </c>
      <c r="AL356" s="492" t="s">
        <v>1500</v>
      </c>
    </row>
    <row r="357" spans="33:38">
      <c r="AG357" s="492" t="s">
        <v>1009</v>
      </c>
      <c r="AH357" s="492" t="s">
        <v>1653</v>
      </c>
      <c r="AI357" s="492" t="s">
        <v>1654</v>
      </c>
      <c r="AJ357" s="492">
        <v>9506021</v>
      </c>
      <c r="AK357" s="492" t="s">
        <v>1493</v>
      </c>
      <c r="AL357" s="492" t="s">
        <v>1500</v>
      </c>
    </row>
    <row r="358" spans="33:38">
      <c r="AG358" s="492" t="s">
        <v>1009</v>
      </c>
      <c r="AH358" s="492" t="s">
        <v>1655</v>
      </c>
      <c r="AI358" s="492" t="s">
        <v>1656</v>
      </c>
      <c r="AJ358" s="492">
        <v>9506022</v>
      </c>
      <c r="AK358" s="492" t="s">
        <v>1493</v>
      </c>
      <c r="AL358" s="492" t="s">
        <v>1500</v>
      </c>
    </row>
    <row r="359" spans="33:38">
      <c r="AG359" s="492" t="s">
        <v>1010</v>
      </c>
      <c r="AH359" s="492" t="s">
        <v>227</v>
      </c>
      <c r="AI359" s="492" t="s">
        <v>1657</v>
      </c>
      <c r="AJ359" s="492">
        <v>9507005</v>
      </c>
      <c r="AK359" s="492" t="s">
        <v>1493</v>
      </c>
      <c r="AL359" s="492" t="s">
        <v>1494</v>
      </c>
    </row>
    <row r="360" spans="33:38">
      <c r="AG360" s="492" t="s">
        <v>1010</v>
      </c>
      <c r="AH360" s="492" t="s">
        <v>228</v>
      </c>
      <c r="AI360" s="492" t="s">
        <v>1658</v>
      </c>
      <c r="AJ360" s="492">
        <v>9507006</v>
      </c>
      <c r="AK360" s="492" t="s">
        <v>1493</v>
      </c>
      <c r="AL360" s="492" t="s">
        <v>1494</v>
      </c>
    </row>
    <row r="361" spans="33:38">
      <c r="AG361" s="492" t="s">
        <v>1010</v>
      </c>
      <c r="AH361" s="492" t="s">
        <v>1659</v>
      </c>
      <c r="AI361" s="492" t="s">
        <v>1660</v>
      </c>
      <c r="AJ361" s="492">
        <v>9507020</v>
      </c>
      <c r="AK361" s="492" t="s">
        <v>1493</v>
      </c>
      <c r="AL361" s="492" t="s">
        <v>1494</v>
      </c>
    </row>
    <row r="362" spans="33:38">
      <c r="AG362" s="492" t="s">
        <v>1010</v>
      </c>
      <c r="AH362" s="492" t="s">
        <v>1661</v>
      </c>
      <c r="AI362" s="492" t="s">
        <v>1662</v>
      </c>
      <c r="AJ362" s="492">
        <v>9507027</v>
      </c>
      <c r="AK362" s="492" t="s">
        <v>1493</v>
      </c>
      <c r="AL362" s="492" t="s">
        <v>1494</v>
      </c>
    </row>
    <row r="363" spans="33:38">
      <c r="AG363" s="492" t="s">
        <v>1010</v>
      </c>
      <c r="AH363" s="492" t="s">
        <v>1663</v>
      </c>
      <c r="AI363" s="492" t="s">
        <v>1664</v>
      </c>
      <c r="AJ363" s="492">
        <v>9507039</v>
      </c>
      <c r="AK363" s="492" t="s">
        <v>1493</v>
      </c>
      <c r="AL363" s="492" t="s">
        <v>1494</v>
      </c>
    </row>
    <row r="364" spans="33:38">
      <c r="AG364" s="492" t="s">
        <v>1010</v>
      </c>
      <c r="AH364" s="492" t="s">
        <v>259</v>
      </c>
      <c r="AI364" s="492" t="s">
        <v>1665</v>
      </c>
      <c r="AJ364" s="492">
        <v>9507047</v>
      </c>
      <c r="AK364" s="492" t="s">
        <v>1493</v>
      </c>
      <c r="AL364" s="492" t="s">
        <v>1500</v>
      </c>
    </row>
    <row r="365" spans="33:38">
      <c r="AG365" s="492" t="s">
        <v>1010</v>
      </c>
      <c r="AH365" s="492" t="s">
        <v>1666</v>
      </c>
      <c r="AI365" s="492" t="s">
        <v>1667</v>
      </c>
      <c r="AJ365" s="492">
        <v>9507048</v>
      </c>
      <c r="AK365" s="492" t="s">
        <v>1493</v>
      </c>
      <c r="AL365" s="492" t="s">
        <v>1500</v>
      </c>
    </row>
    <row r="366" spans="33:38">
      <c r="AG366" s="492" t="s">
        <v>1010</v>
      </c>
      <c r="AH366" s="492" t="s">
        <v>1668</v>
      </c>
      <c r="AI366" s="492" t="s">
        <v>1669</v>
      </c>
      <c r="AJ366" s="492">
        <v>9507051</v>
      </c>
      <c r="AK366" s="492" t="s">
        <v>1504</v>
      </c>
      <c r="AL366" s="492" t="s">
        <v>1500</v>
      </c>
    </row>
    <row r="367" spans="33:38">
      <c r="AG367" s="492" t="s">
        <v>1010</v>
      </c>
      <c r="AH367" s="492" t="s">
        <v>1670</v>
      </c>
      <c r="AI367" s="492" t="s">
        <v>1671</v>
      </c>
      <c r="AJ367" s="492">
        <v>9507050</v>
      </c>
      <c r="AK367" s="492" t="s">
        <v>1504</v>
      </c>
      <c r="AL367" s="492" t="s">
        <v>1500</v>
      </c>
    </row>
    <row r="368" spans="33:38">
      <c r="AG368" s="492" t="s">
        <v>1011</v>
      </c>
      <c r="AH368" s="492" t="s">
        <v>230</v>
      </c>
      <c r="AI368" s="492" t="s">
        <v>1672</v>
      </c>
      <c r="AJ368" s="492">
        <v>9508012</v>
      </c>
      <c r="AK368" s="492" t="s">
        <v>1493</v>
      </c>
      <c r="AL368" s="492" t="s">
        <v>1494</v>
      </c>
    </row>
    <row r="369" spans="33:38">
      <c r="AG369" s="492" t="s">
        <v>1011</v>
      </c>
      <c r="AH369" s="492" t="s">
        <v>738</v>
      </c>
      <c r="AI369" s="492" t="s">
        <v>1673</v>
      </c>
      <c r="AJ369" s="492">
        <v>9508016</v>
      </c>
      <c r="AK369" s="492" t="s">
        <v>1493</v>
      </c>
      <c r="AL369" s="492" t="s">
        <v>1494</v>
      </c>
    </row>
    <row r="370" spans="33:38">
      <c r="AG370" s="492" t="s">
        <v>1011</v>
      </c>
      <c r="AH370" s="492" t="s">
        <v>231</v>
      </c>
      <c r="AI370" s="492" t="s">
        <v>1674</v>
      </c>
      <c r="AJ370" s="492">
        <v>9508029</v>
      </c>
      <c r="AK370" s="492" t="s">
        <v>1504</v>
      </c>
      <c r="AL370" s="492" t="s">
        <v>1494</v>
      </c>
    </row>
    <row r="371" spans="33:38">
      <c r="AG371" s="492" t="s">
        <v>1011</v>
      </c>
      <c r="AH371" s="492" t="s">
        <v>270</v>
      </c>
      <c r="AI371" s="492" t="s">
        <v>1675</v>
      </c>
      <c r="AJ371" s="492">
        <v>9508050</v>
      </c>
      <c r="AK371" s="492" t="s">
        <v>1493</v>
      </c>
      <c r="AL371" s="492" t="s">
        <v>1494</v>
      </c>
    </row>
    <row r="372" spans="33:38">
      <c r="AG372" s="492" t="s">
        <v>1012</v>
      </c>
      <c r="AH372" s="492" t="s">
        <v>751</v>
      </c>
      <c r="AI372" s="492" t="s">
        <v>1676</v>
      </c>
      <c r="AJ372" s="492">
        <v>9509003</v>
      </c>
      <c r="AK372" s="492" t="s">
        <v>1493</v>
      </c>
      <c r="AL372" s="492" t="s">
        <v>1494</v>
      </c>
    </row>
    <row r="373" spans="33:38">
      <c r="AG373" s="492" t="s">
        <v>1012</v>
      </c>
      <c r="AH373" s="492" t="s">
        <v>1677</v>
      </c>
      <c r="AI373" s="492" t="s">
        <v>1678</v>
      </c>
      <c r="AJ373" s="492">
        <v>9509009</v>
      </c>
      <c r="AK373" s="492" t="s">
        <v>1493</v>
      </c>
      <c r="AL373" s="492" t="s">
        <v>1494</v>
      </c>
    </row>
    <row r="374" spans="33:38">
      <c r="AG374" s="492" t="s">
        <v>1012</v>
      </c>
      <c r="AH374" s="492" t="s">
        <v>278</v>
      </c>
      <c r="AI374" s="492" t="s">
        <v>1679</v>
      </c>
      <c r="AJ374" s="492">
        <v>9509016</v>
      </c>
      <c r="AK374" s="492" t="s">
        <v>1504</v>
      </c>
      <c r="AL374" s="492" t="s">
        <v>1500</v>
      </c>
    </row>
    <row r="375" spans="33:38">
      <c r="AG375" s="492" t="s">
        <v>1012</v>
      </c>
      <c r="AH375" s="492" t="s">
        <v>279</v>
      </c>
      <c r="AI375" s="492" t="s">
        <v>1680</v>
      </c>
      <c r="AJ375" s="492">
        <v>9509017</v>
      </c>
      <c r="AK375" s="492" t="s">
        <v>1493</v>
      </c>
      <c r="AL375" s="492" t="s">
        <v>1500</v>
      </c>
    </row>
    <row r="376" spans="33:38">
      <c r="AG376" s="492" t="s">
        <v>1012</v>
      </c>
      <c r="AH376" s="492" t="s">
        <v>280</v>
      </c>
      <c r="AI376" s="492" t="s">
        <v>1681</v>
      </c>
      <c r="AJ376" s="492">
        <v>9509018</v>
      </c>
      <c r="AK376" s="492" t="s">
        <v>1493</v>
      </c>
      <c r="AL376" s="492" t="s">
        <v>1500</v>
      </c>
    </row>
    <row r="377" spans="33:38">
      <c r="AG377" s="492" t="s">
        <v>1012</v>
      </c>
      <c r="AH377" s="492" t="s">
        <v>1682</v>
      </c>
      <c r="AI377" s="492" t="s">
        <v>1683</v>
      </c>
      <c r="AJ377" s="492">
        <v>9509019</v>
      </c>
      <c r="AK377" s="492" t="s">
        <v>1493</v>
      </c>
      <c r="AL377" s="492" t="s">
        <v>1500</v>
      </c>
    </row>
    <row r="378" spans="33:38">
      <c r="AG378" s="492" t="s">
        <v>1012</v>
      </c>
      <c r="AH378" s="492" t="s">
        <v>1684</v>
      </c>
      <c r="AI378" s="492" t="s">
        <v>1685</v>
      </c>
      <c r="AJ378" s="492">
        <v>9509991</v>
      </c>
      <c r="AK378" s="492" t="s">
        <v>1504</v>
      </c>
      <c r="AL378" s="492" t="s">
        <v>1500</v>
      </c>
    </row>
    <row r="379" spans="33:38">
      <c r="AG379" s="492" t="s">
        <v>1012</v>
      </c>
      <c r="AH379" s="492" t="s">
        <v>1686</v>
      </c>
      <c r="AI379" s="492" t="s">
        <v>1687</v>
      </c>
      <c r="AJ379" s="492">
        <v>9509992</v>
      </c>
      <c r="AK379" s="492" t="s">
        <v>1504</v>
      </c>
      <c r="AL379" s="492" t="s">
        <v>1500</v>
      </c>
    </row>
    <row r="380" spans="33:38">
      <c r="AG380" s="492" t="s">
        <v>1012</v>
      </c>
      <c r="AH380" s="492" t="s">
        <v>1688</v>
      </c>
      <c r="AI380" s="492" t="s">
        <v>1689</v>
      </c>
      <c r="AJ380" s="492">
        <v>9509993</v>
      </c>
      <c r="AK380" s="492" t="s">
        <v>1504</v>
      </c>
      <c r="AL380" s="492" t="s">
        <v>1500</v>
      </c>
    </row>
    <row r="381" spans="33:38">
      <c r="AG381" s="492" t="s">
        <v>1013</v>
      </c>
      <c r="AH381" s="492" t="s">
        <v>63</v>
      </c>
      <c r="AI381" s="492" t="s">
        <v>1320</v>
      </c>
      <c r="AJ381" s="492">
        <v>9601006</v>
      </c>
      <c r="AK381" s="492" t="s">
        <v>1493</v>
      </c>
      <c r="AL381" s="492" t="s">
        <v>1308</v>
      </c>
    </row>
    <row r="382" spans="33:38">
      <c r="AG382" s="492" t="s">
        <v>1013</v>
      </c>
      <c r="AH382" s="492" t="s">
        <v>1690</v>
      </c>
      <c r="AI382" s="492" t="s">
        <v>1691</v>
      </c>
      <c r="AJ382" s="492">
        <v>9601008</v>
      </c>
      <c r="AK382" s="492" t="s">
        <v>1504</v>
      </c>
      <c r="AL382" s="492" t="s">
        <v>1494</v>
      </c>
    </row>
    <row r="383" spans="33:38">
      <c r="AG383" s="492" t="s">
        <v>1013</v>
      </c>
      <c r="AH383" s="492" t="s">
        <v>283</v>
      </c>
      <c r="AI383" s="492" t="s">
        <v>1692</v>
      </c>
      <c r="AJ383" s="492">
        <v>9601991</v>
      </c>
      <c r="AK383" s="492" t="s">
        <v>1504</v>
      </c>
      <c r="AL383" s="492" t="s">
        <v>1500</v>
      </c>
    </row>
    <row r="384" spans="33:38">
      <c r="AG384" s="492" t="s">
        <v>1013</v>
      </c>
      <c r="AH384" s="492" t="s">
        <v>1073</v>
      </c>
      <c r="AI384" s="492" t="s">
        <v>1693</v>
      </c>
      <c r="AJ384" s="492">
        <v>9601992</v>
      </c>
      <c r="AK384" s="492" t="s">
        <v>1504</v>
      </c>
      <c r="AL384" s="492" t="s">
        <v>1500</v>
      </c>
    </row>
    <row r="385" spans="33:38">
      <c r="AG385" s="492" t="s">
        <v>1014</v>
      </c>
      <c r="AH385" s="492" t="s">
        <v>1694</v>
      </c>
      <c r="AI385" s="492" t="s">
        <v>1695</v>
      </c>
      <c r="AJ385" s="492">
        <v>9602016</v>
      </c>
      <c r="AK385" s="492" t="s">
        <v>1493</v>
      </c>
      <c r="AL385" s="492" t="s">
        <v>1494</v>
      </c>
    </row>
    <row r="386" spans="33:38">
      <c r="AG386" s="492" t="s">
        <v>1014</v>
      </c>
      <c r="AH386" s="492" t="s">
        <v>237</v>
      </c>
      <c r="AI386" s="492" t="s">
        <v>1696</v>
      </c>
      <c r="AJ386" s="492">
        <v>9602021</v>
      </c>
      <c r="AK386" s="492" t="s">
        <v>1493</v>
      </c>
      <c r="AL386" s="492" t="s">
        <v>1494</v>
      </c>
    </row>
    <row r="387" spans="33:38">
      <c r="AG387" s="492" t="s">
        <v>1014</v>
      </c>
      <c r="AH387" s="492" t="s">
        <v>239</v>
      </c>
      <c r="AI387" s="492" t="s">
        <v>1697</v>
      </c>
      <c r="AJ387" s="492">
        <v>9602027</v>
      </c>
      <c r="AK387" s="492" t="s">
        <v>1493</v>
      </c>
      <c r="AL387" s="492" t="s">
        <v>1494</v>
      </c>
    </row>
    <row r="388" spans="33:38">
      <c r="AG388" s="492" t="s">
        <v>1014</v>
      </c>
      <c r="AH388" s="492" t="s">
        <v>780</v>
      </c>
      <c r="AI388" s="492" t="s">
        <v>1698</v>
      </c>
      <c r="AJ388" s="492">
        <v>9602036</v>
      </c>
      <c r="AK388" s="492" t="s">
        <v>1493</v>
      </c>
      <c r="AL388" s="492" t="s">
        <v>1494</v>
      </c>
    </row>
    <row r="389" spans="33:38">
      <c r="AG389" s="492" t="s">
        <v>1014</v>
      </c>
      <c r="AH389" s="492" t="s">
        <v>287</v>
      </c>
      <c r="AI389" s="492" t="s">
        <v>1699</v>
      </c>
      <c r="AJ389" s="492">
        <v>9602037</v>
      </c>
      <c r="AK389" s="492" t="s">
        <v>1493</v>
      </c>
      <c r="AL389" s="492" t="s">
        <v>1494</v>
      </c>
    </row>
    <row r="390" spans="33:38">
      <c r="AG390" s="492" t="s">
        <v>1014</v>
      </c>
      <c r="AH390" s="492" t="s">
        <v>288</v>
      </c>
      <c r="AI390" s="492" t="s">
        <v>1700</v>
      </c>
      <c r="AJ390" s="492">
        <v>9602039</v>
      </c>
      <c r="AK390" s="492" t="s">
        <v>1504</v>
      </c>
      <c r="AL390" s="492" t="s">
        <v>1500</v>
      </c>
    </row>
    <row r="391" spans="33:38">
      <c r="AG391" s="492" t="s">
        <v>1014</v>
      </c>
      <c r="AH391" s="492" t="s">
        <v>1701</v>
      </c>
      <c r="AI391" s="492" t="s">
        <v>1702</v>
      </c>
      <c r="AJ391" s="492">
        <v>9602990</v>
      </c>
      <c r="AK391" s="492" t="s">
        <v>1504</v>
      </c>
      <c r="AL391" s="492" t="s">
        <v>1500</v>
      </c>
    </row>
    <row r="392" spans="33:38">
      <c r="AG392" s="492" t="s">
        <v>1014</v>
      </c>
      <c r="AH392" s="492" t="s">
        <v>1703</v>
      </c>
      <c r="AI392" s="492" t="s">
        <v>1704</v>
      </c>
      <c r="AJ392" s="492">
        <v>9602991</v>
      </c>
      <c r="AK392" s="492" t="s">
        <v>1493</v>
      </c>
      <c r="AL392" s="492" t="s">
        <v>1500</v>
      </c>
    </row>
    <row r="393" spans="33:38">
      <c r="AG393" s="492" t="s">
        <v>1014</v>
      </c>
      <c r="AH393" s="492" t="s">
        <v>1705</v>
      </c>
      <c r="AI393" s="492" t="s">
        <v>1706</v>
      </c>
      <c r="AJ393" s="492">
        <v>9602992</v>
      </c>
      <c r="AK393" s="492" t="s">
        <v>1504</v>
      </c>
      <c r="AL393" s="492" t="s">
        <v>1500</v>
      </c>
    </row>
    <row r="394" spans="33:38">
      <c r="AG394" s="492" t="s">
        <v>1014</v>
      </c>
      <c r="AH394" s="492" t="s">
        <v>1707</v>
      </c>
      <c r="AI394" s="492" t="s">
        <v>1708</v>
      </c>
      <c r="AJ394" s="492">
        <v>9602993</v>
      </c>
      <c r="AK394" s="492" t="s">
        <v>1504</v>
      </c>
      <c r="AL394" s="492" t="s">
        <v>1500</v>
      </c>
    </row>
    <row r="395" spans="33:38">
      <c r="AG395" s="492" t="s">
        <v>1015</v>
      </c>
      <c r="AH395" s="492" t="s">
        <v>293</v>
      </c>
      <c r="AI395" s="492" t="s">
        <v>1709</v>
      </c>
      <c r="AJ395" s="492">
        <v>9603029</v>
      </c>
      <c r="AK395" s="492" t="s">
        <v>1493</v>
      </c>
      <c r="AL395" s="492" t="s">
        <v>1500</v>
      </c>
    </row>
    <row r="396" spans="33:38">
      <c r="AG396" s="492" t="s">
        <v>1015</v>
      </c>
      <c r="AH396" s="492" t="s">
        <v>248</v>
      </c>
      <c r="AI396" s="492" t="s">
        <v>1710</v>
      </c>
      <c r="AJ396" s="492">
        <v>9603077</v>
      </c>
      <c r="AK396" s="492" t="s">
        <v>1493</v>
      </c>
      <c r="AL396" s="492" t="s">
        <v>1494</v>
      </c>
    </row>
    <row r="397" spans="33:38">
      <c r="AG397" s="492" t="s">
        <v>1015</v>
      </c>
      <c r="AH397" s="492" t="s">
        <v>301</v>
      </c>
      <c r="AI397" s="492" t="s">
        <v>1711</v>
      </c>
      <c r="AJ397" s="492">
        <v>9603095</v>
      </c>
      <c r="AK397" s="492" t="s">
        <v>1493</v>
      </c>
      <c r="AL397" s="492" t="s">
        <v>1500</v>
      </c>
    </row>
    <row r="398" spans="33:38">
      <c r="AG398" s="492" t="s">
        <v>1015</v>
      </c>
      <c r="AH398" s="492" t="s">
        <v>303</v>
      </c>
      <c r="AI398" s="492" t="s">
        <v>1712</v>
      </c>
      <c r="AJ398" s="492">
        <v>9603096</v>
      </c>
      <c r="AK398" s="492" t="s">
        <v>1493</v>
      </c>
      <c r="AL398" s="492" t="s">
        <v>1500</v>
      </c>
    </row>
    <row r="399" spans="33:38">
      <c r="AG399" s="492" t="s">
        <v>1015</v>
      </c>
      <c r="AH399" s="492" t="s">
        <v>304</v>
      </c>
      <c r="AI399" s="492" t="s">
        <v>1713</v>
      </c>
      <c r="AJ399" s="492">
        <v>9603097</v>
      </c>
      <c r="AK399" s="492" t="s">
        <v>1493</v>
      </c>
      <c r="AL399" s="492" t="s">
        <v>1500</v>
      </c>
    </row>
    <row r="400" spans="33:38">
      <c r="AG400" s="492" t="s">
        <v>1015</v>
      </c>
      <c r="AH400" s="492" t="s">
        <v>305</v>
      </c>
      <c r="AI400" s="492" t="s">
        <v>1714</v>
      </c>
      <c r="AJ400" s="492">
        <v>9603098</v>
      </c>
      <c r="AK400" s="492" t="s">
        <v>1493</v>
      </c>
      <c r="AL400" s="492" t="s">
        <v>1500</v>
      </c>
    </row>
    <row r="401" spans="33:38">
      <c r="AG401" s="492" t="s">
        <v>1015</v>
      </c>
      <c r="AH401" s="492" t="s">
        <v>306</v>
      </c>
      <c r="AI401" s="492" t="s">
        <v>1715</v>
      </c>
      <c r="AJ401" s="492">
        <v>9603099</v>
      </c>
      <c r="AK401" s="492" t="s">
        <v>1504</v>
      </c>
      <c r="AL401" s="492" t="s">
        <v>1500</v>
      </c>
    </row>
    <row r="402" spans="33:38">
      <c r="AG402" s="492" t="s">
        <v>1015</v>
      </c>
      <c r="AH402" s="492" t="s">
        <v>1716</v>
      </c>
      <c r="AI402" s="492" t="s">
        <v>1717</v>
      </c>
      <c r="AJ402" s="492">
        <v>9603105</v>
      </c>
      <c r="AK402" s="492" t="s">
        <v>1504</v>
      </c>
      <c r="AL402" s="492" t="s">
        <v>1500</v>
      </c>
    </row>
    <row r="403" spans="33:38">
      <c r="AG403" s="492" t="s">
        <v>1015</v>
      </c>
      <c r="AH403" s="492" t="s">
        <v>1718</v>
      </c>
      <c r="AI403" s="492" t="s">
        <v>1719</v>
      </c>
      <c r="AJ403" s="492">
        <v>9603107</v>
      </c>
      <c r="AK403" s="492" t="s">
        <v>1493</v>
      </c>
      <c r="AL403" s="492" t="s">
        <v>1500</v>
      </c>
    </row>
    <row r="404" spans="33:38">
      <c r="AG404" s="492" t="s">
        <v>1015</v>
      </c>
      <c r="AH404" s="492" t="s">
        <v>1720</v>
      </c>
      <c r="AI404" s="492" t="s">
        <v>1721</v>
      </c>
      <c r="AJ404" s="492">
        <v>9603108</v>
      </c>
      <c r="AK404" s="492" t="s">
        <v>1493</v>
      </c>
      <c r="AL404" s="492" t="s">
        <v>1500</v>
      </c>
    </row>
    <row r="405" spans="33:38">
      <c r="AG405" s="492" t="s">
        <v>1015</v>
      </c>
      <c r="AH405" s="492" t="s">
        <v>1722</v>
      </c>
      <c r="AI405" s="492" t="s">
        <v>1723</v>
      </c>
      <c r="AJ405" s="492">
        <v>9603109</v>
      </c>
      <c r="AK405" s="492" t="s">
        <v>1493</v>
      </c>
      <c r="AL405" s="492" t="s">
        <v>1500</v>
      </c>
    </row>
    <row r="406" spans="33:38">
      <c r="AG406" s="492" t="s">
        <v>1015</v>
      </c>
      <c r="AH406" s="492" t="s">
        <v>1724</v>
      </c>
      <c r="AI406" s="492" t="s">
        <v>1725</v>
      </c>
      <c r="AJ406" s="492">
        <v>9603110</v>
      </c>
      <c r="AK406" s="492" t="s">
        <v>1493</v>
      </c>
      <c r="AL406" s="492" t="s">
        <v>1500</v>
      </c>
    </row>
    <row r="407" spans="33:38">
      <c r="AG407" s="492" t="s">
        <v>1015</v>
      </c>
      <c r="AH407" s="492" t="s">
        <v>1726</v>
      </c>
      <c r="AI407" s="492" t="s">
        <v>1727</v>
      </c>
      <c r="AJ407" s="492">
        <v>9603111</v>
      </c>
      <c r="AK407" s="492" t="s">
        <v>1504</v>
      </c>
      <c r="AL407" s="492" t="s">
        <v>1500</v>
      </c>
    </row>
    <row r="408" spans="33:38">
      <c r="AG408" s="492" t="s">
        <v>1016</v>
      </c>
      <c r="AH408" s="492" t="s">
        <v>1728</v>
      </c>
      <c r="AI408" s="492" t="s">
        <v>1729</v>
      </c>
      <c r="AJ408" s="492">
        <v>9604002</v>
      </c>
      <c r="AK408" s="492" t="s">
        <v>1493</v>
      </c>
      <c r="AL408" s="492" t="s">
        <v>1494</v>
      </c>
    </row>
    <row r="409" spans="33:38">
      <c r="AG409" s="492" t="s">
        <v>1017</v>
      </c>
      <c r="AH409" s="492" t="s">
        <v>255</v>
      </c>
      <c r="AI409" s="492" t="s">
        <v>1730</v>
      </c>
      <c r="AJ409" s="492">
        <v>9605004</v>
      </c>
      <c r="AK409" s="492" t="s">
        <v>1493</v>
      </c>
      <c r="AL409" s="492" t="s">
        <v>1494</v>
      </c>
    </row>
    <row r="410" spans="33:38">
      <c r="AG410" s="492" t="s">
        <v>1017</v>
      </c>
      <c r="AH410" s="492" t="s">
        <v>313</v>
      </c>
      <c r="AI410" s="492" t="s">
        <v>1731</v>
      </c>
      <c r="AJ410" s="492">
        <v>9605990</v>
      </c>
      <c r="AK410" s="492" t="s">
        <v>1504</v>
      </c>
      <c r="AL410" s="492" t="s">
        <v>1500</v>
      </c>
    </row>
    <row r="411" spans="33:38">
      <c r="AG411" s="492" t="s">
        <v>1017</v>
      </c>
      <c r="AH411" s="492" t="s">
        <v>1732</v>
      </c>
      <c r="AI411" s="492" t="s">
        <v>1733</v>
      </c>
      <c r="AJ411" s="492">
        <v>9605991</v>
      </c>
      <c r="AK411" s="492" t="s">
        <v>1504</v>
      </c>
      <c r="AL411" s="492" t="s">
        <v>1500</v>
      </c>
    </row>
    <row r="412" spans="33:38">
      <c r="AG412" s="492" t="s">
        <v>1017</v>
      </c>
      <c r="AH412" s="492" t="s">
        <v>1734</v>
      </c>
      <c r="AI412" s="492" t="s">
        <v>1735</v>
      </c>
      <c r="AJ412" s="492">
        <v>9605992</v>
      </c>
      <c r="AK412" s="492" t="s">
        <v>1504</v>
      </c>
      <c r="AL412" s="492" t="s">
        <v>1500</v>
      </c>
    </row>
    <row r="413" spans="33:38">
      <c r="AG413" s="492" t="s">
        <v>1018</v>
      </c>
      <c r="AH413" s="492" t="s">
        <v>256</v>
      </c>
      <c r="AI413" s="492" t="s">
        <v>1736</v>
      </c>
      <c r="AJ413" s="492">
        <v>9606002</v>
      </c>
      <c r="AK413" s="492" t="s">
        <v>1493</v>
      </c>
      <c r="AL413" s="492" t="s">
        <v>1494</v>
      </c>
    </row>
    <row r="414" spans="33:38">
      <c r="AG414" s="492" t="s">
        <v>1018</v>
      </c>
      <c r="AH414" s="492" t="s">
        <v>257</v>
      </c>
      <c r="AI414" s="492" t="s">
        <v>1737</v>
      </c>
      <c r="AJ414" s="492">
        <v>9606003</v>
      </c>
      <c r="AK414" s="492" t="s">
        <v>1493</v>
      </c>
      <c r="AL414" s="492" t="s">
        <v>1494</v>
      </c>
    </row>
    <row r="415" spans="33:38">
      <c r="AG415" s="492" t="s">
        <v>1018</v>
      </c>
      <c r="AH415" s="492" t="s">
        <v>1738</v>
      </c>
      <c r="AI415" s="492" t="s">
        <v>1739</v>
      </c>
      <c r="AJ415" s="492">
        <v>9606007</v>
      </c>
      <c r="AK415" s="492" t="s">
        <v>1493</v>
      </c>
      <c r="AL415" s="492" t="s">
        <v>1494</v>
      </c>
    </row>
    <row r="416" spans="33:38">
      <c r="AG416" s="492" t="s">
        <v>1018</v>
      </c>
      <c r="AH416" s="492" t="s">
        <v>315</v>
      </c>
      <c r="AI416" s="492" t="s">
        <v>1740</v>
      </c>
      <c r="AJ416" s="492">
        <v>9606990</v>
      </c>
      <c r="AK416" s="492" t="s">
        <v>1504</v>
      </c>
      <c r="AL416" s="492" t="s">
        <v>1500</v>
      </c>
    </row>
    <row r="417" spans="33:38">
      <c r="AG417" s="492" t="s">
        <v>1019</v>
      </c>
      <c r="AH417" s="492" t="s">
        <v>837</v>
      </c>
      <c r="AI417" s="492" t="s">
        <v>1741</v>
      </c>
      <c r="AJ417" s="492">
        <v>9701007</v>
      </c>
      <c r="AK417" s="492" t="s">
        <v>1493</v>
      </c>
      <c r="AL417" s="492" t="s">
        <v>1494</v>
      </c>
    </row>
    <row r="418" spans="33:38">
      <c r="AG418" s="492" t="s">
        <v>1020</v>
      </c>
      <c r="AH418" s="492" t="s">
        <v>258</v>
      </c>
      <c r="AI418" s="492" t="s">
        <v>1742</v>
      </c>
      <c r="AJ418" s="492">
        <v>9702008</v>
      </c>
      <c r="AK418" s="492" t="s">
        <v>1493</v>
      </c>
      <c r="AL418" s="492" t="s">
        <v>1494</v>
      </c>
    </row>
    <row r="419" spans="33:38">
      <c r="AG419" s="492" t="s">
        <v>1020</v>
      </c>
      <c r="AH419" s="492" t="s">
        <v>1743</v>
      </c>
      <c r="AI419" s="492" t="s">
        <v>1744</v>
      </c>
      <c r="AJ419" s="492">
        <v>9702010</v>
      </c>
      <c r="AK419" s="492" t="s">
        <v>1504</v>
      </c>
      <c r="AL419" s="492" t="s">
        <v>1494</v>
      </c>
    </row>
    <row r="420" spans="33:38">
      <c r="AG420" s="492" t="s">
        <v>1021</v>
      </c>
      <c r="AH420" s="492" t="s">
        <v>81</v>
      </c>
      <c r="AI420" s="492" t="s">
        <v>1168</v>
      </c>
      <c r="AJ420" s="492">
        <v>9703007</v>
      </c>
      <c r="AK420" s="492" t="s">
        <v>1493</v>
      </c>
      <c r="AL420" s="492" t="s">
        <v>1509</v>
      </c>
    </row>
    <row r="421" spans="33:38">
      <c r="AG421" s="492" t="s">
        <v>1021</v>
      </c>
      <c r="AH421" s="492" t="s">
        <v>261</v>
      </c>
      <c r="AI421" s="492" t="s">
        <v>1745</v>
      </c>
      <c r="AJ421" s="492">
        <v>9703009</v>
      </c>
      <c r="AK421" s="492" t="s">
        <v>1493</v>
      </c>
      <c r="AL421" s="492" t="s">
        <v>1494</v>
      </c>
    </row>
    <row r="422" spans="33:38">
      <c r="AG422" s="492" t="s">
        <v>1021</v>
      </c>
      <c r="AH422" s="492" t="s">
        <v>1746</v>
      </c>
      <c r="AI422" s="492" t="s">
        <v>1747</v>
      </c>
      <c r="AJ422" s="492">
        <v>9703011</v>
      </c>
      <c r="AK422" s="492" t="s">
        <v>1493</v>
      </c>
      <c r="AL422" s="492" t="s">
        <v>1494</v>
      </c>
    </row>
    <row r="423" spans="33:38">
      <c r="AG423" s="492" t="s">
        <v>1021</v>
      </c>
      <c r="AH423" s="492" t="s">
        <v>1748</v>
      </c>
      <c r="AI423" s="492" t="s">
        <v>1749</v>
      </c>
      <c r="AJ423" s="492">
        <v>9703014</v>
      </c>
      <c r="AK423" s="492" t="s">
        <v>1493</v>
      </c>
      <c r="AL423" s="492" t="s">
        <v>1494</v>
      </c>
    </row>
    <row r="424" spans="33:38">
      <c r="AG424" s="492" t="s">
        <v>1021</v>
      </c>
      <c r="AH424" s="492" t="s">
        <v>262</v>
      </c>
      <c r="AI424" s="492" t="s">
        <v>1750</v>
      </c>
      <c r="AJ424" s="492">
        <v>9703015</v>
      </c>
      <c r="AK424" s="492" t="s">
        <v>1493</v>
      </c>
      <c r="AL424" s="492" t="s">
        <v>1494</v>
      </c>
    </row>
    <row r="425" spans="33:38">
      <c r="AG425" s="492" t="s">
        <v>1021</v>
      </c>
      <c r="AH425" s="492" t="s">
        <v>263</v>
      </c>
      <c r="AI425" s="492" t="s">
        <v>1751</v>
      </c>
      <c r="AJ425" s="492">
        <v>9703017</v>
      </c>
      <c r="AK425" s="492" t="s">
        <v>1493</v>
      </c>
      <c r="AL425" s="492" t="s">
        <v>1494</v>
      </c>
    </row>
    <row r="426" spans="33:38">
      <c r="AG426" s="492" t="s">
        <v>1021</v>
      </c>
      <c r="AH426" s="492" t="s">
        <v>1752</v>
      </c>
      <c r="AI426" s="492" t="s">
        <v>1753</v>
      </c>
      <c r="AJ426" s="492">
        <v>9703026</v>
      </c>
      <c r="AK426" s="492" t="s">
        <v>1504</v>
      </c>
      <c r="AL426" s="492" t="s">
        <v>1500</v>
      </c>
    </row>
    <row r="427" spans="33:38">
      <c r="AG427" s="492" t="s">
        <v>1021</v>
      </c>
      <c r="AH427" s="492" t="s">
        <v>1754</v>
      </c>
      <c r="AI427" s="492" t="s">
        <v>1755</v>
      </c>
      <c r="AJ427" s="492">
        <v>9703027</v>
      </c>
      <c r="AK427" s="492" t="s">
        <v>1504</v>
      </c>
      <c r="AL427" s="492" t="s">
        <v>1500</v>
      </c>
    </row>
    <row r="428" spans="33:38">
      <c r="AG428" s="492" t="s">
        <v>1021</v>
      </c>
      <c r="AH428" s="492" t="s">
        <v>1756</v>
      </c>
      <c r="AI428" s="492" t="s">
        <v>1757</v>
      </c>
      <c r="AJ428" s="492">
        <v>9703028</v>
      </c>
      <c r="AK428" s="492" t="s">
        <v>1493</v>
      </c>
      <c r="AL428" s="492" t="s">
        <v>1500</v>
      </c>
    </row>
    <row r="429" spans="33:38">
      <c r="AG429" s="492" t="s">
        <v>1022</v>
      </c>
      <c r="AH429" s="492" t="s">
        <v>322</v>
      </c>
      <c r="AI429" s="492" t="s">
        <v>1758</v>
      </c>
      <c r="AJ429" s="492">
        <v>9704005</v>
      </c>
      <c r="AK429" s="492" t="s">
        <v>1493</v>
      </c>
      <c r="AL429" s="492" t="s">
        <v>1494</v>
      </c>
    </row>
    <row r="430" spans="33:38">
      <c r="AG430" s="492" t="s">
        <v>1022</v>
      </c>
      <c r="AH430" s="492" t="s">
        <v>266</v>
      </c>
      <c r="AI430" s="492" t="s">
        <v>1759</v>
      </c>
      <c r="AJ430" s="492">
        <v>9704024</v>
      </c>
      <c r="AK430" s="492" t="s">
        <v>1493</v>
      </c>
      <c r="AL430" s="492" t="s">
        <v>1494</v>
      </c>
    </row>
    <row r="431" spans="33:38">
      <c r="AG431" s="492" t="s">
        <v>1022</v>
      </c>
      <c r="AH431" s="492" t="s">
        <v>267</v>
      </c>
      <c r="AI431" s="492" t="s">
        <v>1760</v>
      </c>
      <c r="AJ431" s="492">
        <v>9704027</v>
      </c>
      <c r="AK431" s="492" t="s">
        <v>1493</v>
      </c>
      <c r="AL431" s="492" t="s">
        <v>1494</v>
      </c>
    </row>
    <row r="432" spans="33:38">
      <c r="AG432" s="492" t="s">
        <v>1022</v>
      </c>
      <c r="AH432" s="492" t="s">
        <v>268</v>
      </c>
      <c r="AI432" s="492" t="s">
        <v>1761</v>
      </c>
      <c r="AJ432" s="492">
        <v>9704028</v>
      </c>
      <c r="AK432" s="492" t="s">
        <v>1493</v>
      </c>
      <c r="AL432" s="492" t="s">
        <v>1494</v>
      </c>
    </row>
    <row r="433" spans="33:38">
      <c r="AG433" s="492" t="s">
        <v>1022</v>
      </c>
      <c r="AH433" s="492" t="s">
        <v>323</v>
      </c>
      <c r="AI433" s="492" t="s">
        <v>1762</v>
      </c>
      <c r="AJ433" s="492">
        <v>9704038</v>
      </c>
      <c r="AK433" s="492" t="s">
        <v>1493</v>
      </c>
      <c r="AL433" s="492" t="s">
        <v>1500</v>
      </c>
    </row>
    <row r="434" spans="33:38">
      <c r="AG434" s="492" t="s">
        <v>1022</v>
      </c>
      <c r="AH434" s="492" t="s">
        <v>1763</v>
      </c>
      <c r="AI434" s="492" t="s">
        <v>1764</v>
      </c>
      <c r="AJ434" s="492">
        <v>9704000</v>
      </c>
      <c r="AK434" s="492" t="s">
        <v>1493</v>
      </c>
      <c r="AL434" s="492" t="s">
        <v>1500</v>
      </c>
    </row>
    <row r="435" spans="33:38">
      <c r="AG435" s="492" t="s">
        <v>1022</v>
      </c>
      <c r="AH435" s="492" t="s">
        <v>324</v>
      </c>
      <c r="AI435" s="492" t="s">
        <v>1765</v>
      </c>
      <c r="AJ435" s="492">
        <v>9704040</v>
      </c>
      <c r="AK435" s="492" t="s">
        <v>1493</v>
      </c>
      <c r="AL435" s="492" t="s">
        <v>1500</v>
      </c>
    </row>
    <row r="436" spans="33:38">
      <c r="AG436" s="492" t="s">
        <v>1022</v>
      </c>
      <c r="AH436" s="492" t="s">
        <v>325</v>
      </c>
      <c r="AI436" s="492" t="s">
        <v>1766</v>
      </c>
      <c r="AJ436" s="492">
        <v>9704041</v>
      </c>
      <c r="AK436" s="492" t="s">
        <v>1493</v>
      </c>
      <c r="AL436" s="492" t="s">
        <v>1500</v>
      </c>
    </row>
    <row r="437" spans="33:38">
      <c r="AG437" s="492" t="s">
        <v>1022</v>
      </c>
      <c r="AH437" s="492" t="s">
        <v>1767</v>
      </c>
      <c r="AI437" s="492" t="s">
        <v>1768</v>
      </c>
      <c r="AJ437" s="492">
        <v>9704991</v>
      </c>
      <c r="AK437" s="492" t="s">
        <v>1504</v>
      </c>
      <c r="AL437" s="492" t="s">
        <v>1500</v>
      </c>
    </row>
    <row r="438" spans="33:38">
      <c r="AG438" s="492" t="s">
        <v>1023</v>
      </c>
      <c r="AH438" s="492" t="s">
        <v>271</v>
      </c>
      <c r="AI438" s="492" t="s">
        <v>1769</v>
      </c>
      <c r="AJ438" s="492">
        <v>9705003</v>
      </c>
      <c r="AK438" s="492" t="s">
        <v>1493</v>
      </c>
      <c r="AL438" s="492" t="s">
        <v>1494</v>
      </c>
    </row>
    <row r="439" spans="33:38">
      <c r="AG439" s="492" t="s">
        <v>1023</v>
      </c>
      <c r="AH439" s="492" t="s">
        <v>272</v>
      </c>
      <c r="AI439" s="492" t="s">
        <v>1770</v>
      </c>
      <c r="AJ439" s="492">
        <v>9705005</v>
      </c>
      <c r="AK439" s="492" t="s">
        <v>1493</v>
      </c>
      <c r="AL439" s="492" t="s">
        <v>1494</v>
      </c>
    </row>
    <row r="440" spans="33:38">
      <c r="AG440" s="492" t="s">
        <v>1023</v>
      </c>
      <c r="AH440" s="492" t="s">
        <v>276</v>
      </c>
      <c r="AI440" s="492" t="s">
        <v>1771</v>
      </c>
      <c r="AJ440" s="492">
        <v>9705018</v>
      </c>
      <c r="AK440" s="492" t="s">
        <v>1493</v>
      </c>
      <c r="AL440" s="492" t="s">
        <v>1494</v>
      </c>
    </row>
    <row r="441" spans="33:38">
      <c r="AG441" s="492" t="s">
        <v>1023</v>
      </c>
      <c r="AH441" s="492" t="s">
        <v>327</v>
      </c>
      <c r="AI441" s="492" t="s">
        <v>1772</v>
      </c>
      <c r="AJ441" s="492">
        <v>9705020</v>
      </c>
      <c r="AK441" s="492" t="s">
        <v>1493</v>
      </c>
      <c r="AL441" s="492" t="s">
        <v>1494</v>
      </c>
    </row>
    <row r="442" spans="33:38">
      <c r="AG442" s="492" t="s">
        <v>1023</v>
      </c>
      <c r="AH442" s="492" t="s">
        <v>328</v>
      </c>
      <c r="AI442" s="492" t="s">
        <v>1773</v>
      </c>
      <c r="AJ442" s="492">
        <v>9705991</v>
      </c>
      <c r="AK442" s="492" t="s">
        <v>1504</v>
      </c>
      <c r="AL442" s="492" t="s">
        <v>1500</v>
      </c>
    </row>
    <row r="443" spans="33:38">
      <c r="AG443" s="492" t="s">
        <v>1023</v>
      </c>
      <c r="AH443" s="492" t="s">
        <v>329</v>
      </c>
      <c r="AI443" s="492" t="s">
        <v>1774</v>
      </c>
      <c r="AJ443" s="492">
        <v>9705992</v>
      </c>
      <c r="AK443" s="492" t="s">
        <v>1504</v>
      </c>
      <c r="AL443" s="492" t="s">
        <v>1500</v>
      </c>
    </row>
    <row r="444" spans="33:38">
      <c r="AG444" s="492" t="s">
        <v>1023</v>
      </c>
      <c r="AH444" s="492" t="s">
        <v>1775</v>
      </c>
      <c r="AI444" s="492" t="s">
        <v>1776</v>
      </c>
      <c r="AJ444" s="492">
        <v>9705993</v>
      </c>
      <c r="AK444" s="492" t="s">
        <v>1504</v>
      </c>
      <c r="AL444" s="492" t="s">
        <v>1500</v>
      </c>
    </row>
    <row r="445" spans="33:38">
      <c r="AG445" s="492" t="s">
        <v>1543</v>
      </c>
      <c r="AH445" s="492" t="s">
        <v>1777</v>
      </c>
      <c r="AI445" s="492" t="s">
        <v>1778</v>
      </c>
      <c r="AJ445" s="492">
        <v>9801991</v>
      </c>
      <c r="AK445" s="492" t="s">
        <v>1493</v>
      </c>
      <c r="AL445" s="492" t="s">
        <v>1500</v>
      </c>
    </row>
    <row r="446" spans="33:38">
      <c r="AG446" s="492" t="s">
        <v>1543</v>
      </c>
      <c r="AH446" s="492" t="s">
        <v>1779</v>
      </c>
      <c r="AI446" s="492" t="s">
        <v>1780</v>
      </c>
      <c r="AJ446" s="492">
        <v>9801992</v>
      </c>
      <c r="AK446" s="492" t="s">
        <v>1504</v>
      </c>
      <c r="AL446" s="492" t="s">
        <v>1500</v>
      </c>
    </row>
    <row r="447" spans="33:38">
      <c r="AG447" s="492" t="s">
        <v>1024</v>
      </c>
      <c r="AH447" s="492" t="s">
        <v>1781</v>
      </c>
      <c r="AI447" s="492" t="s">
        <v>1782</v>
      </c>
      <c r="AJ447" s="492">
        <v>9802002</v>
      </c>
      <c r="AK447" s="492" t="s">
        <v>1493</v>
      </c>
      <c r="AL447" s="492" t="s">
        <v>1494</v>
      </c>
    </row>
    <row r="448" spans="33:38">
      <c r="AG448" s="492" t="s">
        <v>1024</v>
      </c>
      <c r="AH448" s="492" t="s">
        <v>277</v>
      </c>
      <c r="AI448" s="492" t="s">
        <v>1783</v>
      </c>
      <c r="AJ448" s="492">
        <v>9802003</v>
      </c>
      <c r="AK448" s="492" t="s">
        <v>1493</v>
      </c>
      <c r="AL448" s="492" t="s">
        <v>1494</v>
      </c>
    </row>
    <row r="449" spans="33:38">
      <c r="AG449" s="492" t="s">
        <v>1024</v>
      </c>
      <c r="AH449" s="492" t="s">
        <v>1784</v>
      </c>
      <c r="AI449" s="492" t="s">
        <v>1785</v>
      </c>
      <c r="AJ449" s="492">
        <v>9802990</v>
      </c>
      <c r="AK449" s="492" t="s">
        <v>1504</v>
      </c>
      <c r="AL449" s="492" t="s">
        <v>1500</v>
      </c>
    </row>
    <row r="450" spans="33:38">
      <c r="AG450" s="492" t="s">
        <v>1024</v>
      </c>
      <c r="AH450" s="492" t="s">
        <v>1786</v>
      </c>
      <c r="AI450" s="492" t="s">
        <v>1787</v>
      </c>
      <c r="AJ450" s="492">
        <v>9802991</v>
      </c>
      <c r="AK450" s="492" t="s">
        <v>1504</v>
      </c>
      <c r="AL450" s="492" t="s">
        <v>1500</v>
      </c>
    </row>
    <row r="451" spans="33:38">
      <c r="AG451" s="492" t="s">
        <v>1024</v>
      </c>
      <c r="AH451" s="492" t="s">
        <v>1788</v>
      </c>
      <c r="AI451" s="492" t="s">
        <v>1789</v>
      </c>
      <c r="AJ451" s="492">
        <v>9802993</v>
      </c>
      <c r="AK451" s="492" t="s">
        <v>1504</v>
      </c>
      <c r="AL451" s="492" t="s">
        <v>1500</v>
      </c>
    </row>
    <row r="452" spans="33:38">
      <c r="AG452" s="492" t="s">
        <v>1025</v>
      </c>
      <c r="AH452" s="492" t="s">
        <v>282</v>
      </c>
      <c r="AI452" s="492" t="s">
        <v>1790</v>
      </c>
      <c r="AJ452" s="492">
        <v>9803008</v>
      </c>
      <c r="AK452" s="492" t="s">
        <v>1493</v>
      </c>
      <c r="AL452" s="492" t="s">
        <v>1494</v>
      </c>
    </row>
    <row r="453" spans="33:38">
      <c r="AG453" s="492" t="s">
        <v>1025</v>
      </c>
      <c r="AH453" s="492" t="s">
        <v>1791</v>
      </c>
      <c r="AI453" s="492" t="s">
        <v>1792</v>
      </c>
      <c r="AJ453" s="492">
        <v>9803011</v>
      </c>
      <c r="AK453" s="492" t="s">
        <v>1493</v>
      </c>
      <c r="AL453" s="492" t="s">
        <v>1509</v>
      </c>
    </row>
    <row r="454" spans="33:38">
      <c r="AG454" s="492" t="s">
        <v>1025</v>
      </c>
      <c r="AH454" s="492" t="s">
        <v>332</v>
      </c>
      <c r="AI454" s="492" t="s">
        <v>1793</v>
      </c>
      <c r="AJ454" s="492">
        <v>9803018</v>
      </c>
      <c r="AK454" s="492" t="s">
        <v>1493</v>
      </c>
      <c r="AL454" s="492" t="s">
        <v>1500</v>
      </c>
    </row>
    <row r="455" spans="33:38">
      <c r="AG455" s="492" t="s">
        <v>1025</v>
      </c>
      <c r="AH455" s="492" t="s">
        <v>1794</v>
      </c>
      <c r="AI455" s="492" t="s">
        <v>1795</v>
      </c>
      <c r="AJ455" s="492">
        <v>9803019</v>
      </c>
      <c r="AK455" s="492" t="s">
        <v>1493</v>
      </c>
      <c r="AL455" s="492" t="s">
        <v>1500</v>
      </c>
    </row>
    <row r="456" spans="33:38">
      <c r="AG456" s="492" t="s">
        <v>1025</v>
      </c>
      <c r="AH456" s="492" t="s">
        <v>333</v>
      </c>
      <c r="AI456" s="492" t="s">
        <v>1796</v>
      </c>
      <c r="AJ456" s="492">
        <v>9803990</v>
      </c>
      <c r="AK456" s="492" t="s">
        <v>1504</v>
      </c>
      <c r="AL456" s="492" t="s">
        <v>1500</v>
      </c>
    </row>
    <row r="457" spans="33:38">
      <c r="AG457" s="492" t="s">
        <v>1026</v>
      </c>
      <c r="AH457" s="492" t="s">
        <v>64</v>
      </c>
      <c r="AI457" s="492" t="s">
        <v>1322</v>
      </c>
      <c r="AJ457" s="492">
        <v>9804009</v>
      </c>
      <c r="AK457" s="492" t="s">
        <v>1493</v>
      </c>
      <c r="AL457" s="492" t="s">
        <v>1797</v>
      </c>
    </row>
    <row r="458" spans="33:38">
      <c r="AG458" s="492" t="s">
        <v>1027</v>
      </c>
      <c r="AH458" s="492" t="s">
        <v>1798</v>
      </c>
      <c r="AI458" s="492" t="s">
        <v>1799</v>
      </c>
      <c r="AJ458" s="492">
        <v>9901006</v>
      </c>
      <c r="AK458" s="492" t="s">
        <v>1493</v>
      </c>
      <c r="AL458" s="492" t="s">
        <v>1494</v>
      </c>
    </row>
    <row r="459" spans="33:38">
      <c r="AG459" s="492" t="s">
        <v>1027</v>
      </c>
      <c r="AH459" s="492" t="s">
        <v>1800</v>
      </c>
      <c r="AI459" s="492" t="s">
        <v>1801</v>
      </c>
      <c r="AJ459" s="492">
        <v>9901010</v>
      </c>
      <c r="AK459" s="492" t="s">
        <v>1493</v>
      </c>
      <c r="AL459" s="492" t="s">
        <v>1494</v>
      </c>
    </row>
    <row r="460" spans="33:38">
      <c r="AG460" s="492" t="s">
        <v>1027</v>
      </c>
      <c r="AH460" s="492" t="s">
        <v>1802</v>
      </c>
      <c r="AI460" s="492" t="s">
        <v>1803</v>
      </c>
      <c r="AJ460" s="492">
        <v>9901020</v>
      </c>
      <c r="AK460" s="492" t="s">
        <v>1493</v>
      </c>
      <c r="AL460" s="492" t="s">
        <v>1494</v>
      </c>
    </row>
    <row r="461" spans="33:38">
      <c r="AG461" s="492" t="s">
        <v>1027</v>
      </c>
      <c r="AH461" s="492" t="s">
        <v>1804</v>
      </c>
      <c r="AI461" s="492" t="s">
        <v>1805</v>
      </c>
      <c r="AJ461" s="492">
        <v>9901024</v>
      </c>
      <c r="AK461" s="492" t="s">
        <v>1493</v>
      </c>
      <c r="AL461" s="492" t="s">
        <v>1494</v>
      </c>
    </row>
    <row r="462" spans="33:38">
      <c r="AG462" s="492" t="s">
        <v>1027</v>
      </c>
      <c r="AH462" s="492" t="s">
        <v>1806</v>
      </c>
      <c r="AI462" s="492" t="s">
        <v>1807</v>
      </c>
      <c r="AJ462" s="492">
        <v>9901029</v>
      </c>
      <c r="AK462" s="492" t="s">
        <v>1493</v>
      </c>
      <c r="AL462" s="492" t="s">
        <v>1494</v>
      </c>
    </row>
    <row r="463" spans="33:38">
      <c r="AG463" s="492" t="s">
        <v>1027</v>
      </c>
      <c r="AH463" s="492" t="s">
        <v>901</v>
      </c>
      <c r="AI463" s="492" t="s">
        <v>1808</v>
      </c>
      <c r="AJ463" s="492">
        <v>9901038</v>
      </c>
      <c r="AK463" s="492" t="s">
        <v>1493</v>
      </c>
      <c r="AL463" s="492" t="s">
        <v>1494</v>
      </c>
    </row>
    <row r="464" spans="33:38">
      <c r="AG464" s="492" t="s">
        <v>1027</v>
      </c>
      <c r="AH464" s="492" t="s">
        <v>290</v>
      </c>
      <c r="AI464" s="492" t="s">
        <v>1809</v>
      </c>
      <c r="AJ464" s="492">
        <v>9901051</v>
      </c>
      <c r="AK464" s="492" t="s">
        <v>1493</v>
      </c>
      <c r="AL464" s="492" t="s">
        <v>1494</v>
      </c>
    </row>
    <row r="465" spans="33:38">
      <c r="AG465" s="492" t="s">
        <v>1027</v>
      </c>
      <c r="AH465" s="492" t="s">
        <v>291</v>
      </c>
      <c r="AI465" s="492" t="s">
        <v>1810</v>
      </c>
      <c r="AJ465" s="492">
        <v>9901056</v>
      </c>
      <c r="AK465" s="492" t="s">
        <v>1493</v>
      </c>
      <c r="AL465" s="492" t="s">
        <v>1494</v>
      </c>
    </row>
    <row r="466" spans="33:38">
      <c r="AG466" s="492" t="s">
        <v>1027</v>
      </c>
      <c r="AH466" s="492" t="s">
        <v>1811</v>
      </c>
      <c r="AI466" s="492" t="s">
        <v>1812</v>
      </c>
      <c r="AJ466" s="492">
        <v>9901059</v>
      </c>
      <c r="AK466" s="492" t="s">
        <v>1493</v>
      </c>
      <c r="AL466" s="492" t="s">
        <v>1494</v>
      </c>
    </row>
    <row r="467" spans="33:38">
      <c r="AG467" s="492" t="s">
        <v>1027</v>
      </c>
      <c r="AH467" s="492" t="s">
        <v>336</v>
      </c>
      <c r="AI467" s="492" t="s">
        <v>1813</v>
      </c>
      <c r="AJ467" s="492">
        <v>9901062</v>
      </c>
      <c r="AK467" s="492" t="s">
        <v>1493</v>
      </c>
      <c r="AL467" s="492" t="s">
        <v>1494</v>
      </c>
    </row>
    <row r="468" spans="33:38">
      <c r="AG468" s="492" t="s">
        <v>1027</v>
      </c>
      <c r="AH468" s="492" t="s">
        <v>1814</v>
      </c>
      <c r="AI468" s="492" t="s">
        <v>1815</v>
      </c>
      <c r="AJ468" s="492">
        <v>9901990</v>
      </c>
      <c r="AK468" s="492" t="s">
        <v>1504</v>
      </c>
      <c r="AL468" s="492" t="s">
        <v>1500</v>
      </c>
    </row>
    <row r="469" spans="33:38">
      <c r="AG469" s="492" t="s">
        <v>1027</v>
      </c>
      <c r="AH469" s="492" t="s">
        <v>1816</v>
      </c>
      <c r="AI469" s="492" t="s">
        <v>1817</v>
      </c>
      <c r="AJ469" s="492">
        <v>9901992</v>
      </c>
      <c r="AK469" s="492" t="s">
        <v>1504</v>
      </c>
      <c r="AL469" s="492" t="s">
        <v>1500</v>
      </c>
    </row>
    <row r="470" spans="33:38">
      <c r="AG470" s="492" t="s">
        <v>1028</v>
      </c>
      <c r="AH470" s="492" t="s">
        <v>292</v>
      </c>
      <c r="AI470" s="492" t="s">
        <v>1818</v>
      </c>
      <c r="AJ470" s="492">
        <v>9902006</v>
      </c>
      <c r="AK470" s="492" t="s">
        <v>1504</v>
      </c>
      <c r="AL470" s="492" t="s">
        <v>1494</v>
      </c>
    </row>
    <row r="471" spans="33:38">
      <c r="AG471" s="492" t="s">
        <v>1029</v>
      </c>
      <c r="AH471" s="492" t="s">
        <v>1819</v>
      </c>
      <c r="AI471" s="492" t="s">
        <v>1820</v>
      </c>
      <c r="AJ471" s="492">
        <v>9903004</v>
      </c>
      <c r="AK471" s="492" t="s">
        <v>1493</v>
      </c>
      <c r="AL471" s="492" t="s">
        <v>1494</v>
      </c>
    </row>
    <row r="472" spans="33:38">
      <c r="AG472" s="492" t="s">
        <v>1029</v>
      </c>
      <c r="AH472" s="492" t="s">
        <v>294</v>
      </c>
      <c r="AI472" s="492" t="s">
        <v>1821</v>
      </c>
      <c r="AJ472" s="492">
        <v>9903012</v>
      </c>
      <c r="AK472" s="492" t="s">
        <v>1493</v>
      </c>
      <c r="AL472" s="492" t="s">
        <v>1494</v>
      </c>
    </row>
    <row r="473" spans="33:38">
      <c r="AG473" s="492" t="s">
        <v>1029</v>
      </c>
      <c r="AH473" s="492" t="s">
        <v>1822</v>
      </c>
      <c r="AI473" s="492" t="s">
        <v>1823</v>
      </c>
      <c r="AJ473" s="492">
        <v>9903991</v>
      </c>
      <c r="AK473" s="492" t="s">
        <v>1504</v>
      </c>
      <c r="AL473" s="492" t="s">
        <v>1500</v>
      </c>
    </row>
    <row r="474" spans="33:38">
      <c r="AG474" s="492" t="s">
        <v>1029</v>
      </c>
      <c r="AH474" s="492" t="s">
        <v>1824</v>
      </c>
      <c r="AI474" s="492" t="s">
        <v>1825</v>
      </c>
      <c r="AJ474" s="492">
        <v>9903993</v>
      </c>
      <c r="AK474" s="492" t="s">
        <v>1504</v>
      </c>
      <c r="AL474" s="492" t="s">
        <v>1500</v>
      </c>
    </row>
    <row r="475" spans="33:38">
      <c r="AG475" s="492" t="s">
        <v>1030</v>
      </c>
      <c r="AH475" s="492" t="s">
        <v>310</v>
      </c>
      <c r="AI475" s="492" t="s">
        <v>1826</v>
      </c>
      <c r="AJ475" s="492">
        <v>9904990</v>
      </c>
      <c r="AK475" s="492" t="s">
        <v>1493</v>
      </c>
      <c r="AL475" s="492" t="s">
        <v>1500</v>
      </c>
    </row>
    <row r="476" spans="33:38">
      <c r="AG476" s="492" t="s">
        <v>1030</v>
      </c>
      <c r="AH476" s="492" t="s">
        <v>1827</v>
      </c>
      <c r="AI476" s="492" t="s">
        <v>1828</v>
      </c>
      <c r="AJ476" s="492">
        <v>9904991</v>
      </c>
      <c r="AK476" s="492" t="s">
        <v>1504</v>
      </c>
      <c r="AL476" s="492" t="s">
        <v>1500</v>
      </c>
    </row>
    <row r="477" spans="33:38">
      <c r="AG477" s="492" t="s">
        <v>1031</v>
      </c>
      <c r="AH477" s="492" t="s">
        <v>297</v>
      </c>
      <c r="AI477" s="492" t="s">
        <v>1829</v>
      </c>
      <c r="AJ477" s="492">
        <v>9905010</v>
      </c>
      <c r="AK477" s="492" t="s">
        <v>1493</v>
      </c>
      <c r="AL477" s="492" t="s">
        <v>1494</v>
      </c>
    </row>
    <row r="478" spans="33:38">
      <c r="AG478" s="492" t="s">
        <v>1031</v>
      </c>
      <c r="AH478" s="492" t="s">
        <v>1830</v>
      </c>
      <c r="AI478" s="492" t="s">
        <v>1831</v>
      </c>
      <c r="AJ478" s="492">
        <v>9905011</v>
      </c>
      <c r="AK478" s="492" t="s">
        <v>1493</v>
      </c>
      <c r="AL478" s="492" t="s">
        <v>1494</v>
      </c>
    </row>
    <row r="479" spans="33:38">
      <c r="AG479" s="492" t="s">
        <v>1031</v>
      </c>
      <c r="AH479" s="492" t="s">
        <v>953</v>
      </c>
      <c r="AI479" s="492" t="s">
        <v>1832</v>
      </c>
      <c r="AJ479" s="492">
        <v>9905015</v>
      </c>
      <c r="AK479" s="492" t="s">
        <v>1493</v>
      </c>
      <c r="AL479" s="492" t="s">
        <v>1494</v>
      </c>
    </row>
    <row r="480" spans="33:38">
      <c r="AG480" s="492" t="s">
        <v>1031</v>
      </c>
      <c r="AH480" s="492" t="s">
        <v>312</v>
      </c>
      <c r="AI480" s="492" t="s">
        <v>1833</v>
      </c>
      <c r="AJ480" s="492">
        <v>9905990</v>
      </c>
      <c r="AK480" s="492" t="s">
        <v>1504</v>
      </c>
      <c r="AL480" s="492" t="s">
        <v>1500</v>
      </c>
    </row>
    <row r="481" spans="33:38">
      <c r="AG481" s="492" t="s">
        <v>1032</v>
      </c>
      <c r="AH481" s="492" t="s">
        <v>1834</v>
      </c>
      <c r="AI481" s="492" t="s">
        <v>1835</v>
      </c>
      <c r="AJ481" s="492">
        <v>9906003</v>
      </c>
      <c r="AK481" s="492" t="s">
        <v>1493</v>
      </c>
      <c r="AL481" s="492" t="s">
        <v>1494</v>
      </c>
    </row>
    <row r="482" spans="33:38">
      <c r="AG482" s="492" t="s">
        <v>1032</v>
      </c>
      <c r="AH482" s="492" t="s">
        <v>1836</v>
      </c>
      <c r="AI482" s="492" t="s">
        <v>1837</v>
      </c>
      <c r="AJ482" s="492">
        <v>9906007</v>
      </c>
      <c r="AK482" s="492" t="s">
        <v>1493</v>
      </c>
      <c r="AL482" s="492" t="s">
        <v>1494</v>
      </c>
    </row>
    <row r="483" spans="33:38">
      <c r="AG483" s="492" t="s">
        <v>1032</v>
      </c>
      <c r="AH483" s="492" t="s">
        <v>298</v>
      </c>
      <c r="AI483" s="492" t="s">
        <v>1838</v>
      </c>
      <c r="AJ483" s="492">
        <v>9906010</v>
      </c>
      <c r="AK483" s="492" t="s">
        <v>1493</v>
      </c>
      <c r="AL483" s="492" t="s">
        <v>1494</v>
      </c>
    </row>
    <row r="484" spans="33:38">
      <c r="AG484" s="492" t="s">
        <v>1032</v>
      </c>
      <c r="AH484" s="492" t="s">
        <v>69</v>
      </c>
      <c r="AI484" s="492" t="s">
        <v>1839</v>
      </c>
      <c r="AJ484" s="492">
        <v>9906012</v>
      </c>
      <c r="AK484" s="492" t="s">
        <v>1504</v>
      </c>
      <c r="AL484" s="492" t="s">
        <v>1494</v>
      </c>
    </row>
    <row r="485" spans="33:38">
      <c r="AG485" s="492" t="s">
        <v>1032</v>
      </c>
      <c r="AH485" s="492" t="s">
        <v>299</v>
      </c>
      <c r="AI485" s="492" t="s">
        <v>1043</v>
      </c>
      <c r="AJ485" s="492">
        <v>9906013</v>
      </c>
      <c r="AK485" s="492" t="s">
        <v>1493</v>
      </c>
      <c r="AL485" s="492" t="s">
        <v>1509</v>
      </c>
    </row>
    <row r="486" spans="33:38">
      <c r="AG486" s="492" t="s">
        <v>1032</v>
      </c>
      <c r="AH486" s="492" t="s">
        <v>300</v>
      </c>
      <c r="AI486" s="492" t="s">
        <v>1840</v>
      </c>
      <c r="AJ486" s="492">
        <v>9906014</v>
      </c>
      <c r="AK486" s="492" t="s">
        <v>1493</v>
      </c>
      <c r="AL486" s="492" t="s">
        <v>1494</v>
      </c>
    </row>
    <row r="487" spans="33:38">
      <c r="AG487" s="492" t="s">
        <v>1033</v>
      </c>
      <c r="AH487" s="492" t="s">
        <v>119</v>
      </c>
      <c r="AI487" s="492" t="s">
        <v>1044</v>
      </c>
      <c r="AJ487" s="492">
        <v>9907013</v>
      </c>
      <c r="AK487" s="492" t="s">
        <v>1493</v>
      </c>
      <c r="AL487" s="492" t="s">
        <v>1509</v>
      </c>
    </row>
    <row r="488" spans="33:38">
      <c r="AG488" s="492" t="s">
        <v>1033</v>
      </c>
      <c r="AH488" s="492" t="s">
        <v>318</v>
      </c>
      <c r="AI488" s="492" t="s">
        <v>1841</v>
      </c>
      <c r="AJ488" s="492">
        <v>9907025</v>
      </c>
      <c r="AK488" s="492" t="s">
        <v>1493</v>
      </c>
      <c r="AL488" s="492" t="s">
        <v>1500</v>
      </c>
    </row>
    <row r="489" spans="33:38">
      <c r="AG489" s="492" t="s">
        <v>1034</v>
      </c>
      <c r="AH489" s="492" t="s">
        <v>1842</v>
      </c>
      <c r="AI489" s="492" t="s">
        <v>1843</v>
      </c>
      <c r="AJ489" s="492">
        <v>9908990</v>
      </c>
      <c r="AK489" s="492" t="s">
        <v>1504</v>
      </c>
      <c r="AL489" s="492" t="s">
        <v>1500</v>
      </c>
    </row>
    <row r="490" spans="33:38">
      <c r="AG490" s="492" t="s">
        <v>1034</v>
      </c>
      <c r="AH490" s="492" t="s">
        <v>1844</v>
      </c>
      <c r="AI490" s="492" t="s">
        <v>1845</v>
      </c>
      <c r="AJ490" s="492">
        <v>9908991</v>
      </c>
      <c r="AK490" s="492" t="s">
        <v>1504</v>
      </c>
      <c r="AL490" s="492" t="s">
        <v>1500</v>
      </c>
    </row>
    <row r="491" spans="33:38">
      <c r="AG491" s="492" t="s">
        <v>1034</v>
      </c>
      <c r="AH491" s="492" t="s">
        <v>1846</v>
      </c>
      <c r="AI491" s="492" t="s">
        <v>1847</v>
      </c>
      <c r="AJ491" s="492">
        <v>9908992</v>
      </c>
      <c r="AK491" s="492" t="s">
        <v>1504</v>
      </c>
      <c r="AL491" s="492" t="s">
        <v>1500</v>
      </c>
    </row>
    <row r="492" spans="33:38">
      <c r="AG492" s="492" t="s">
        <v>1034</v>
      </c>
      <c r="AH492" s="492" t="s">
        <v>1848</v>
      </c>
      <c r="AI492" s="492" t="s">
        <v>1849</v>
      </c>
      <c r="AJ492" s="492">
        <v>9908993</v>
      </c>
      <c r="AK492" s="492" t="s">
        <v>1504</v>
      </c>
      <c r="AL492" s="492" t="s">
        <v>1500</v>
      </c>
    </row>
    <row r="493" spans="33:38">
      <c r="AG493" s="492" t="s">
        <v>1034</v>
      </c>
      <c r="AH493" s="492" t="s">
        <v>1850</v>
      </c>
      <c r="AI493" s="492" t="s">
        <v>1851</v>
      </c>
      <c r="AJ493" s="492">
        <v>9908994</v>
      </c>
      <c r="AK493" s="492" t="s">
        <v>1504</v>
      </c>
      <c r="AL493" s="492" t="s">
        <v>1500</v>
      </c>
    </row>
    <row r="494" spans="33:38">
      <c r="AG494" s="492" t="s">
        <v>1034</v>
      </c>
      <c r="AH494" s="492" t="s">
        <v>1852</v>
      </c>
      <c r="AI494" s="492" t="s">
        <v>1853</v>
      </c>
      <c r="AJ494" s="492">
        <v>9908996</v>
      </c>
      <c r="AK494" s="492" t="s">
        <v>1504</v>
      </c>
      <c r="AL494" s="492" t="s">
        <v>1494</v>
      </c>
    </row>
    <row r="495" spans="33:38">
      <c r="AG495" s="492" t="s">
        <v>1034</v>
      </c>
      <c r="AH495" s="492" t="s">
        <v>1854</v>
      </c>
      <c r="AI495" s="492" t="s">
        <v>1855</v>
      </c>
      <c r="AJ495" s="492">
        <v>9908998</v>
      </c>
      <c r="AK495" s="492" t="s">
        <v>1504</v>
      </c>
      <c r="AL495" s="492" t="s">
        <v>1500</v>
      </c>
    </row>
  </sheetData>
  <sheetProtection algorithmName="SHA-512" hashValue="yDXkOvbcAw5ykuZOPjnzxKIrKcaE5EbERoS5GtUC2nNDgFI1GKeUxnxUT6jdwEx97jSHYnyseQVNOfgm9fqRog==" saltValue="hQ+UWVHDa43WTBhZw/KIGw==" spinCount="100000" sheet="1" formatCells="0" selectLockedCells="1"/>
  <dataConsolidate/>
  <mergeCells count="623">
    <mergeCell ref="B9:E11"/>
    <mergeCell ref="G9:T10"/>
    <mergeCell ref="V9:Y10"/>
    <mergeCell ref="Z9:AE9"/>
    <mergeCell ref="Z10:AE10"/>
    <mergeCell ref="G11:H11"/>
    <mergeCell ref="I11:T11"/>
    <mergeCell ref="AB11:AE11"/>
    <mergeCell ref="A1:AE1"/>
    <mergeCell ref="A2:AE3"/>
    <mergeCell ref="A4:AE5"/>
    <mergeCell ref="B8:E8"/>
    <mergeCell ref="G8:T8"/>
    <mergeCell ref="V8:Y8"/>
    <mergeCell ref="Z8:AE8"/>
    <mergeCell ref="A15:AE15"/>
    <mergeCell ref="A16:C18"/>
    <mergeCell ref="D16:E16"/>
    <mergeCell ref="F16:P16"/>
    <mergeCell ref="Q16:S16"/>
    <mergeCell ref="T16:AE16"/>
    <mergeCell ref="D17:E17"/>
    <mergeCell ref="F17:P17"/>
    <mergeCell ref="Q17:S18"/>
    <mergeCell ref="T17:AE18"/>
    <mergeCell ref="A26:C26"/>
    <mergeCell ref="D26:AE26"/>
    <mergeCell ref="A27:C27"/>
    <mergeCell ref="D27:P27"/>
    <mergeCell ref="Q27:S27"/>
    <mergeCell ref="T27:AE27"/>
    <mergeCell ref="D18:E18"/>
    <mergeCell ref="F18:P18"/>
    <mergeCell ref="B20:AD20"/>
    <mergeCell ref="B21:AD21"/>
    <mergeCell ref="B22:AD23"/>
    <mergeCell ref="A25:AE25"/>
    <mergeCell ref="A37:D37"/>
    <mergeCell ref="E37:J37"/>
    <mergeCell ref="K37:P37"/>
    <mergeCell ref="Q37:U37"/>
    <mergeCell ref="V37:Y39"/>
    <mergeCell ref="Z37:AA37"/>
    <mergeCell ref="A38:D38"/>
    <mergeCell ref="Z38:AE40"/>
    <mergeCell ref="A29:C29"/>
    <mergeCell ref="D29:P29"/>
    <mergeCell ref="Q29:S29"/>
    <mergeCell ref="T29:AE29"/>
    <mergeCell ref="A32:AE32"/>
    <mergeCell ref="A33:B33"/>
    <mergeCell ref="C33:AE34"/>
    <mergeCell ref="A34:B34"/>
    <mergeCell ref="X41:Y41"/>
    <mergeCell ref="Z41:AA41"/>
    <mergeCell ref="B42:D44"/>
    <mergeCell ref="E42:J42"/>
    <mergeCell ref="K42:P42"/>
    <mergeCell ref="Q42:U42"/>
    <mergeCell ref="V42:Y44"/>
    <mergeCell ref="Z42:AE44"/>
    <mergeCell ref="AI38:AK38"/>
    <mergeCell ref="A39:D39"/>
    <mergeCell ref="AI39:AK39"/>
    <mergeCell ref="A40:D40"/>
    <mergeCell ref="E40:J40"/>
    <mergeCell ref="K40:P40"/>
    <mergeCell ref="V40:W41"/>
    <mergeCell ref="X40:Y40"/>
    <mergeCell ref="AI40:AK40"/>
    <mergeCell ref="A41:D41"/>
    <mergeCell ref="AA51:AE54"/>
    <mergeCell ref="AF51:AF54"/>
    <mergeCell ref="D52:E54"/>
    <mergeCell ref="F52:G54"/>
    <mergeCell ref="H52:I54"/>
    <mergeCell ref="J52:K54"/>
    <mergeCell ref="AI42:AK42"/>
    <mergeCell ref="F43:I44"/>
    <mergeCell ref="L43:O44"/>
    <mergeCell ref="R43:U44"/>
    <mergeCell ref="AF44:AF45"/>
    <mergeCell ref="C45:V45"/>
    <mergeCell ref="L52:N54"/>
    <mergeCell ref="O52:P54"/>
    <mergeCell ref="Q52:R54"/>
    <mergeCell ref="S52:T54"/>
    <mergeCell ref="U52:V54"/>
    <mergeCell ref="W52:Y54"/>
    <mergeCell ref="H48:X48"/>
    <mergeCell ref="A51:C54"/>
    <mergeCell ref="D51:N51"/>
    <mergeCell ref="O51:Y51"/>
    <mergeCell ref="AC55:AD55"/>
    <mergeCell ref="AA56:AB56"/>
    <mergeCell ref="AC56:AD56"/>
    <mergeCell ref="A57:C58"/>
    <mergeCell ref="D57:E58"/>
    <mergeCell ref="F57:G58"/>
    <mergeCell ref="H57:I58"/>
    <mergeCell ref="J57:K58"/>
    <mergeCell ref="L57:N58"/>
    <mergeCell ref="O57:P58"/>
    <mergeCell ref="O55:P56"/>
    <mergeCell ref="Q55:R56"/>
    <mergeCell ref="S55:T56"/>
    <mergeCell ref="U55:V56"/>
    <mergeCell ref="W55:Y56"/>
    <mergeCell ref="AA55:AB55"/>
    <mergeCell ref="A55:C56"/>
    <mergeCell ref="D55:E56"/>
    <mergeCell ref="F55:G56"/>
    <mergeCell ref="H55:I56"/>
    <mergeCell ref="J55:K56"/>
    <mergeCell ref="L55:N56"/>
    <mergeCell ref="Q57:R58"/>
    <mergeCell ref="S57:T58"/>
    <mergeCell ref="U57:V58"/>
    <mergeCell ref="W57:Y58"/>
    <mergeCell ref="A59:C60"/>
    <mergeCell ref="D59:E60"/>
    <mergeCell ref="F59:G60"/>
    <mergeCell ref="H59:I60"/>
    <mergeCell ref="J59:K60"/>
    <mergeCell ref="L59:N60"/>
    <mergeCell ref="O59:P60"/>
    <mergeCell ref="Q59:R60"/>
    <mergeCell ref="S59:T60"/>
    <mergeCell ref="H61:I62"/>
    <mergeCell ref="J61:K62"/>
    <mergeCell ref="L61:N62"/>
    <mergeCell ref="O61:P62"/>
    <mergeCell ref="Q61:R62"/>
    <mergeCell ref="S61:T62"/>
    <mergeCell ref="U61:V62"/>
    <mergeCell ref="W61:Y62"/>
    <mergeCell ref="A65:A72"/>
    <mergeCell ref="B65:C65"/>
    <mergeCell ref="D65:E66"/>
    <mergeCell ref="F65:G66"/>
    <mergeCell ref="H65:I66"/>
    <mergeCell ref="A63:C64"/>
    <mergeCell ref="D63:E64"/>
    <mergeCell ref="F63:G64"/>
    <mergeCell ref="H63:I64"/>
    <mergeCell ref="Q65:R66"/>
    <mergeCell ref="S65:T66"/>
    <mergeCell ref="U59:V60"/>
    <mergeCell ref="W59:Y60"/>
    <mergeCell ref="O63:P64"/>
    <mergeCell ref="Q63:R64"/>
    <mergeCell ref="S63:T64"/>
    <mergeCell ref="U63:V64"/>
    <mergeCell ref="W63:Y64"/>
    <mergeCell ref="U65:V66"/>
    <mergeCell ref="J65:K66"/>
    <mergeCell ref="L65:N66"/>
    <mergeCell ref="O65:P66"/>
    <mergeCell ref="J63:K64"/>
    <mergeCell ref="L63:N64"/>
    <mergeCell ref="W65:Y66"/>
    <mergeCell ref="B66:C66"/>
    <mergeCell ref="A61:C62"/>
    <mergeCell ref="D61:E62"/>
    <mergeCell ref="F61:G62"/>
    <mergeCell ref="O69:P70"/>
    <mergeCell ref="Q69:R70"/>
    <mergeCell ref="S69:T70"/>
    <mergeCell ref="U69:V70"/>
    <mergeCell ref="W69:Y70"/>
    <mergeCell ref="B70:C70"/>
    <mergeCell ref="S67:T68"/>
    <mergeCell ref="U67:V68"/>
    <mergeCell ref="W67:Y68"/>
    <mergeCell ref="B68:C68"/>
    <mergeCell ref="B69:C69"/>
    <mergeCell ref="D69:E70"/>
    <mergeCell ref="F69:G70"/>
    <mergeCell ref="H69:I70"/>
    <mergeCell ref="J69:K70"/>
    <mergeCell ref="L69:N70"/>
    <mergeCell ref="J67:K68"/>
    <mergeCell ref="L67:N68"/>
    <mergeCell ref="O67:P68"/>
    <mergeCell ref="Q67:R68"/>
    <mergeCell ref="B67:C67"/>
    <mergeCell ref="D67:E68"/>
    <mergeCell ref="F67:G68"/>
    <mergeCell ref="H67:I68"/>
    <mergeCell ref="O71:P72"/>
    <mergeCell ref="Q71:R72"/>
    <mergeCell ref="S71:T72"/>
    <mergeCell ref="U71:V72"/>
    <mergeCell ref="W71:Y72"/>
    <mergeCell ref="B72:C72"/>
    <mergeCell ref="B71:C71"/>
    <mergeCell ref="D71:E72"/>
    <mergeCell ref="F71:G72"/>
    <mergeCell ref="H71:I72"/>
    <mergeCell ref="J71:K72"/>
    <mergeCell ref="L71:N72"/>
    <mergeCell ref="A73:B73"/>
    <mergeCell ref="C73:Y73"/>
    <mergeCell ref="AB77:AE77"/>
    <mergeCell ref="A79:F79"/>
    <mergeCell ref="G79:I79"/>
    <mergeCell ref="A81:E81"/>
    <mergeCell ref="F81:M81"/>
    <mergeCell ref="P81:T81"/>
    <mergeCell ref="U81:AB81"/>
    <mergeCell ref="A82:A89"/>
    <mergeCell ref="B82:E82"/>
    <mergeCell ref="F82:L82"/>
    <mergeCell ref="P82:P87"/>
    <mergeCell ref="Q82:T82"/>
    <mergeCell ref="U82:AA82"/>
    <mergeCell ref="B83:E83"/>
    <mergeCell ref="F83:L83"/>
    <mergeCell ref="Q83:T83"/>
    <mergeCell ref="U83:AA83"/>
    <mergeCell ref="B86:E86"/>
    <mergeCell ref="F86:L86"/>
    <mergeCell ref="Q86:T86"/>
    <mergeCell ref="U86:AA86"/>
    <mergeCell ref="B87:E87"/>
    <mergeCell ref="F87:L87"/>
    <mergeCell ref="Q87:T87"/>
    <mergeCell ref="U87:AA87"/>
    <mergeCell ref="B84:E84"/>
    <mergeCell ref="F84:L84"/>
    <mergeCell ref="Q84:T84"/>
    <mergeCell ref="U84:AA84"/>
    <mergeCell ref="B85:E85"/>
    <mergeCell ref="F85:L85"/>
    <mergeCell ref="Q85:T85"/>
    <mergeCell ref="U85:AA85"/>
    <mergeCell ref="B88:E88"/>
    <mergeCell ref="F88:L88"/>
    <mergeCell ref="P88:P92"/>
    <mergeCell ref="Q88:T88"/>
    <mergeCell ref="U88:AA88"/>
    <mergeCell ref="B89:E89"/>
    <mergeCell ref="F89:L89"/>
    <mergeCell ref="Q89:T89"/>
    <mergeCell ref="U89:AA89"/>
    <mergeCell ref="F92:L92"/>
    <mergeCell ref="A90:A96"/>
    <mergeCell ref="B90:E90"/>
    <mergeCell ref="F90:L90"/>
    <mergeCell ref="Q90:T90"/>
    <mergeCell ref="U90:AA90"/>
    <mergeCell ref="B91:E91"/>
    <mergeCell ref="F91:L91"/>
    <mergeCell ref="Q91:T91"/>
    <mergeCell ref="U91:AA91"/>
    <mergeCell ref="B92:E92"/>
    <mergeCell ref="Q92:T92"/>
    <mergeCell ref="U92:AA92"/>
    <mergeCell ref="B93:E93"/>
    <mergeCell ref="F93:L93"/>
    <mergeCell ref="P93:P96"/>
    <mergeCell ref="Q93:T93"/>
    <mergeCell ref="U93:AA93"/>
    <mergeCell ref="B94:E94"/>
    <mergeCell ref="F94:L94"/>
    <mergeCell ref="Q94:T94"/>
    <mergeCell ref="U94:AA94"/>
    <mergeCell ref="B95:E95"/>
    <mergeCell ref="F95:L95"/>
    <mergeCell ref="Q95:T95"/>
    <mergeCell ref="U95:AA95"/>
    <mergeCell ref="B96:E96"/>
    <mergeCell ref="F96:L96"/>
    <mergeCell ref="Q96:T96"/>
    <mergeCell ref="U96:AA96"/>
    <mergeCell ref="A97:A105"/>
    <mergeCell ref="B97:E97"/>
    <mergeCell ref="F97:L97"/>
    <mergeCell ref="P97:P104"/>
    <mergeCell ref="Q97:T97"/>
    <mergeCell ref="U97:AA97"/>
    <mergeCell ref="B98:E98"/>
    <mergeCell ref="F98:L98"/>
    <mergeCell ref="Q98:T98"/>
    <mergeCell ref="U98:AA98"/>
    <mergeCell ref="B101:E101"/>
    <mergeCell ref="F101:L101"/>
    <mergeCell ref="Q101:T101"/>
    <mergeCell ref="U101:AA101"/>
    <mergeCell ref="B102:E102"/>
    <mergeCell ref="F102:L102"/>
    <mergeCell ref="Q102:T102"/>
    <mergeCell ref="U102:AA102"/>
    <mergeCell ref="B99:E99"/>
    <mergeCell ref="F99:L99"/>
    <mergeCell ref="Q99:T99"/>
    <mergeCell ref="U99:AA99"/>
    <mergeCell ref="B100:E100"/>
    <mergeCell ref="F100:L100"/>
    <mergeCell ref="Q100:T100"/>
    <mergeCell ref="U100:AA100"/>
    <mergeCell ref="B105:E105"/>
    <mergeCell ref="F105:L105"/>
    <mergeCell ref="P105:T105"/>
    <mergeCell ref="U105:AA105"/>
    <mergeCell ref="P106:T106"/>
    <mergeCell ref="U106:AA106"/>
    <mergeCell ref="B103:E103"/>
    <mergeCell ref="F103:L103"/>
    <mergeCell ref="Q103:T103"/>
    <mergeCell ref="U103:AA103"/>
    <mergeCell ref="B104:E104"/>
    <mergeCell ref="F104:L104"/>
    <mergeCell ref="Q104:T104"/>
    <mergeCell ref="U104:AA104"/>
    <mergeCell ref="AA113:AE113"/>
    <mergeCell ref="A114:B121"/>
    <mergeCell ref="C114:F114"/>
    <mergeCell ref="G114:I114"/>
    <mergeCell ref="K114:M114"/>
    <mergeCell ref="O114:Q114"/>
    <mergeCell ref="S114:U114"/>
    <mergeCell ref="W114:Y114"/>
    <mergeCell ref="AA114:AE114"/>
    <mergeCell ref="K116:M116"/>
    <mergeCell ref="A113:F113"/>
    <mergeCell ref="G113:J113"/>
    <mergeCell ref="K113:N113"/>
    <mergeCell ref="O113:R113"/>
    <mergeCell ref="S113:V113"/>
    <mergeCell ref="W113:Z113"/>
    <mergeCell ref="S118:U118"/>
    <mergeCell ref="W118:Y118"/>
    <mergeCell ref="AF114:AF117"/>
    <mergeCell ref="C115:F115"/>
    <mergeCell ref="G115:I115"/>
    <mergeCell ref="K115:M115"/>
    <mergeCell ref="O115:Q115"/>
    <mergeCell ref="S115:U115"/>
    <mergeCell ref="W115:Y115"/>
    <mergeCell ref="AA115:AE115"/>
    <mergeCell ref="C116:F116"/>
    <mergeCell ref="G116:I116"/>
    <mergeCell ref="O116:Q116"/>
    <mergeCell ref="S116:U116"/>
    <mergeCell ref="W116:Y116"/>
    <mergeCell ref="AA116:AD117"/>
    <mergeCell ref="C117:F117"/>
    <mergeCell ref="G117:I117"/>
    <mergeCell ref="K117:M117"/>
    <mergeCell ref="O117:Q117"/>
    <mergeCell ref="S117:U117"/>
    <mergeCell ref="W117:Y117"/>
    <mergeCell ref="AF119:AF127"/>
    <mergeCell ref="C120:F120"/>
    <mergeCell ref="G120:I120"/>
    <mergeCell ref="K120:M120"/>
    <mergeCell ref="O120:Q120"/>
    <mergeCell ref="S120:U120"/>
    <mergeCell ref="W120:Y120"/>
    <mergeCell ref="C121:F121"/>
    <mergeCell ref="G121:I121"/>
    <mergeCell ref="K121:M121"/>
    <mergeCell ref="AA118:AE122"/>
    <mergeCell ref="C119:F119"/>
    <mergeCell ref="G119:I119"/>
    <mergeCell ref="K119:M119"/>
    <mergeCell ref="O119:Q119"/>
    <mergeCell ref="S119:U119"/>
    <mergeCell ref="W119:Y119"/>
    <mergeCell ref="O121:Q121"/>
    <mergeCell ref="S121:U121"/>
    <mergeCell ref="W121:Y121"/>
    <mergeCell ref="C118:F118"/>
    <mergeCell ref="G118:I118"/>
    <mergeCell ref="K118:M118"/>
    <mergeCell ref="O118:Q118"/>
    <mergeCell ref="A122:B124"/>
    <mergeCell ref="C122:F122"/>
    <mergeCell ref="G122:I122"/>
    <mergeCell ref="K122:M122"/>
    <mergeCell ref="O122:Q122"/>
    <mergeCell ref="S122:U122"/>
    <mergeCell ref="G124:I124"/>
    <mergeCell ref="K124:M124"/>
    <mergeCell ref="O124:Q124"/>
    <mergeCell ref="S124:U124"/>
    <mergeCell ref="W125:Y125"/>
    <mergeCell ref="S126:U126"/>
    <mergeCell ref="W126:Y126"/>
    <mergeCell ref="W122:Y122"/>
    <mergeCell ref="C127:F127"/>
    <mergeCell ref="G127:I127"/>
    <mergeCell ref="K127:M127"/>
    <mergeCell ref="O127:Q127"/>
    <mergeCell ref="S127:U127"/>
    <mergeCell ref="W127:Y127"/>
    <mergeCell ref="C123:F123"/>
    <mergeCell ref="G123:I123"/>
    <mergeCell ref="K123:M123"/>
    <mergeCell ref="O123:Q123"/>
    <mergeCell ref="S123:U123"/>
    <mergeCell ref="W123:Y123"/>
    <mergeCell ref="W124:Y124"/>
    <mergeCell ref="A125:B127"/>
    <mergeCell ref="C125:F125"/>
    <mergeCell ref="G125:I125"/>
    <mergeCell ref="K125:M125"/>
    <mergeCell ref="O125:Q125"/>
    <mergeCell ref="S125:U125"/>
    <mergeCell ref="C126:F126"/>
    <mergeCell ref="G126:I126"/>
    <mergeCell ref="K126:M126"/>
    <mergeCell ref="O126:Q126"/>
    <mergeCell ref="W130:Y130"/>
    <mergeCell ref="A131:B131"/>
    <mergeCell ref="C131:AE131"/>
    <mergeCell ref="A136:H136"/>
    <mergeCell ref="I136:P136"/>
    <mergeCell ref="W128:Y128"/>
    <mergeCell ref="C129:F129"/>
    <mergeCell ref="G129:I129"/>
    <mergeCell ref="K129:M129"/>
    <mergeCell ref="O129:Q129"/>
    <mergeCell ref="S129:U129"/>
    <mergeCell ref="W129:Y129"/>
    <mergeCell ref="A128:B130"/>
    <mergeCell ref="C128:F128"/>
    <mergeCell ref="G128:I128"/>
    <mergeCell ref="K128:M128"/>
    <mergeCell ref="O128:Q128"/>
    <mergeCell ref="S128:U128"/>
    <mergeCell ref="C130:F130"/>
    <mergeCell ref="G130:I130"/>
    <mergeCell ref="K130:M130"/>
    <mergeCell ref="O130:Q130"/>
    <mergeCell ref="AA123:AE130"/>
    <mergeCell ref="C124:F124"/>
    <mergeCell ref="A137:D137"/>
    <mergeCell ref="E137:H137"/>
    <mergeCell ref="I137:L137"/>
    <mergeCell ref="M137:P137"/>
    <mergeCell ref="A138:C138"/>
    <mergeCell ref="E138:G138"/>
    <mergeCell ref="I138:K138"/>
    <mergeCell ref="M138:O138"/>
    <mergeCell ref="S130:U130"/>
    <mergeCell ref="A143:F145"/>
    <mergeCell ref="G143:N145"/>
    <mergeCell ref="O143:V145"/>
    <mergeCell ref="W143:Z145"/>
    <mergeCell ref="AF143:AF145"/>
    <mergeCell ref="A146:F146"/>
    <mergeCell ref="G146:L146"/>
    <mergeCell ref="M146:N146"/>
    <mergeCell ref="O146:T146"/>
    <mergeCell ref="U146:V146"/>
    <mergeCell ref="A147:F147"/>
    <mergeCell ref="G147:L147"/>
    <mergeCell ref="M147:N147"/>
    <mergeCell ref="O147:T147"/>
    <mergeCell ref="U147:V147"/>
    <mergeCell ref="A148:F148"/>
    <mergeCell ref="G148:L148"/>
    <mergeCell ref="M148:N148"/>
    <mergeCell ref="O148:T148"/>
    <mergeCell ref="U148:V148"/>
    <mergeCell ref="A149:F149"/>
    <mergeCell ref="G149:L149"/>
    <mergeCell ref="M149:N149"/>
    <mergeCell ref="O149:T149"/>
    <mergeCell ref="U149:V149"/>
    <mergeCell ref="A150:F150"/>
    <mergeCell ref="G150:L150"/>
    <mergeCell ref="M150:N150"/>
    <mergeCell ref="O150:T150"/>
    <mergeCell ref="U150:V150"/>
    <mergeCell ref="A151:F151"/>
    <mergeCell ref="G151:L151"/>
    <mergeCell ref="M151:N151"/>
    <mergeCell ref="O151:T151"/>
    <mergeCell ref="U151:V151"/>
    <mergeCell ref="A153:H153"/>
    <mergeCell ref="I153:N153"/>
    <mergeCell ref="O153:P153"/>
    <mergeCell ref="Q153:V153"/>
    <mergeCell ref="E162:Q162"/>
    <mergeCell ref="R162:AA162"/>
    <mergeCell ref="E163:Q163"/>
    <mergeCell ref="R163:AA163"/>
    <mergeCell ref="E164:Q164"/>
    <mergeCell ref="R164:AA164"/>
    <mergeCell ref="W153:X153"/>
    <mergeCell ref="A154:AE154"/>
    <mergeCell ref="A157:AE157"/>
    <mergeCell ref="A159:Z159"/>
    <mergeCell ref="A160:B174"/>
    <mergeCell ref="C160:D166"/>
    <mergeCell ref="E160:Q160"/>
    <mergeCell ref="R160:AA160"/>
    <mergeCell ref="E161:Q161"/>
    <mergeCell ref="R161:AA161"/>
    <mergeCell ref="E165:Q165"/>
    <mergeCell ref="R165:AA165"/>
    <mergeCell ref="E166:Q166"/>
    <mergeCell ref="R166:AA166"/>
    <mergeCell ref="C167:D174"/>
    <mergeCell ref="E167:Q167"/>
    <mergeCell ref="R167:AA167"/>
    <mergeCell ref="E168:Q168"/>
    <mergeCell ref="S168:AA168"/>
    <mergeCell ref="E169:Q169"/>
    <mergeCell ref="E173:Q173"/>
    <mergeCell ref="R173:AA173"/>
    <mergeCell ref="E174:Q174"/>
    <mergeCell ref="R174:AA174"/>
    <mergeCell ref="C175:Q175"/>
    <mergeCell ref="R175:AA175"/>
    <mergeCell ref="R169:AA169"/>
    <mergeCell ref="E170:Q170"/>
    <mergeCell ref="R170:AA170"/>
    <mergeCell ref="E171:Q171"/>
    <mergeCell ref="R171:AA171"/>
    <mergeCell ref="E172:Q172"/>
    <mergeCell ref="S172:AA172"/>
    <mergeCell ref="A176:B178"/>
    <mergeCell ref="E176:Q176"/>
    <mergeCell ref="R176:AA176"/>
    <mergeCell ref="E177:Q177"/>
    <mergeCell ref="R177:AA177"/>
    <mergeCell ref="C178:Q178"/>
    <mergeCell ref="R178:AA178"/>
    <mergeCell ref="A183:Q183"/>
    <mergeCell ref="R183:AA183"/>
    <mergeCell ref="A185:Q185"/>
    <mergeCell ref="R185:AA185"/>
    <mergeCell ref="A179:B182"/>
    <mergeCell ref="E179:Q179"/>
    <mergeCell ref="R179:AA179"/>
    <mergeCell ref="E180:Q180"/>
    <mergeCell ref="S180:AA180"/>
    <mergeCell ref="A189:B189"/>
    <mergeCell ref="C189:AE189"/>
    <mergeCell ref="AD180:AE184"/>
    <mergeCell ref="E181:Q181"/>
    <mergeCell ref="R181:AA181"/>
    <mergeCell ref="C182:Q182"/>
    <mergeCell ref="R182:AA182"/>
    <mergeCell ref="A184:Q184"/>
    <mergeCell ref="R184:AA184"/>
    <mergeCell ref="A190:Q190"/>
    <mergeCell ref="R190:AA190"/>
    <mergeCell ref="AB190:AC190"/>
    <mergeCell ref="A191:AE191"/>
    <mergeCell ref="A187:Q187"/>
    <mergeCell ref="R187:AA187"/>
    <mergeCell ref="AB187:AC187"/>
    <mergeCell ref="A188:Q188"/>
    <mergeCell ref="R188:AA188"/>
    <mergeCell ref="AB188:AC188"/>
    <mergeCell ref="H193:X193"/>
    <mergeCell ref="AA193:AE193"/>
    <mergeCell ref="AA194:AE194"/>
    <mergeCell ref="A195:AE195"/>
    <mergeCell ref="A196:G196"/>
    <mergeCell ref="AC196:AE198"/>
    <mergeCell ref="A197:D198"/>
    <mergeCell ref="E197:G198"/>
    <mergeCell ref="H197:Y197"/>
    <mergeCell ref="Z197:AB197"/>
    <mergeCell ref="AC199:AD199"/>
    <mergeCell ref="A204:E206"/>
    <mergeCell ref="R204:S204"/>
    <mergeCell ref="T204:AE208"/>
    <mergeCell ref="F205:L206"/>
    <mergeCell ref="M206:Q206"/>
    <mergeCell ref="Z198:AB198"/>
    <mergeCell ref="A199:C199"/>
    <mergeCell ref="E199:F199"/>
    <mergeCell ref="H199:I199"/>
    <mergeCell ref="K199:L199"/>
    <mergeCell ref="N199:O199"/>
    <mergeCell ref="Q199:R199"/>
    <mergeCell ref="T199:U199"/>
    <mergeCell ref="W199:X199"/>
    <mergeCell ref="Z199:AA199"/>
    <mergeCell ref="H198:J198"/>
    <mergeCell ref="K198:M198"/>
    <mergeCell ref="N198:P198"/>
    <mergeCell ref="Q198:S198"/>
    <mergeCell ref="T198:V198"/>
    <mergeCell ref="W198:Y198"/>
    <mergeCell ref="A213:P213"/>
    <mergeCell ref="A215:AE215"/>
    <mergeCell ref="A219:B221"/>
    <mergeCell ref="C219:L219"/>
    <mergeCell ref="N219:AE222"/>
    <mergeCell ref="AF219:AF221"/>
    <mergeCell ref="C220:L220"/>
    <mergeCell ref="C221:L221"/>
    <mergeCell ref="AF206:AF207"/>
    <mergeCell ref="A207:D208"/>
    <mergeCell ref="F207:G207"/>
    <mergeCell ref="H207:K207"/>
    <mergeCell ref="M207:P207"/>
    <mergeCell ref="F208:G208"/>
    <mergeCell ref="H208:K208"/>
    <mergeCell ref="M208:P208"/>
    <mergeCell ref="AF208:AF209"/>
    <mergeCell ref="C230:L230"/>
    <mergeCell ref="N230:O231"/>
    <mergeCell ref="P230:AE230"/>
    <mergeCell ref="P231:AE231"/>
    <mergeCell ref="A227:B230"/>
    <mergeCell ref="C227:L227"/>
    <mergeCell ref="N227:O227"/>
    <mergeCell ref="P227:AE227"/>
    <mergeCell ref="C228:L228"/>
    <mergeCell ref="N228:O228"/>
    <mergeCell ref="P228:AE228"/>
    <mergeCell ref="C229:L229"/>
    <mergeCell ref="N229:O229"/>
    <mergeCell ref="P229:AE229"/>
  </mergeCells>
  <phoneticPr fontId="15"/>
  <conditionalFormatting sqref="A34:B34">
    <cfRule type="containsBlanks" dxfId="133" priority="26">
      <formula>LEN(TRIM(A34))=0</formula>
    </cfRule>
  </conditionalFormatting>
  <conditionalFormatting sqref="A219:B221">
    <cfRule type="containsBlanks" dxfId="132" priority="46">
      <formula>LEN(TRIM(A219))=0</formula>
    </cfRule>
  </conditionalFormatting>
  <conditionalFormatting sqref="A227:B230">
    <cfRule type="expression" dxfId="131" priority="44">
      <formula>AND(OR($A$219=2,$A$219=3),$A$227="")</formula>
    </cfRule>
  </conditionalFormatting>
  <conditionalFormatting sqref="A57:C58">
    <cfRule type="expression" dxfId="130" priority="62">
      <formula>COUNTIF(#REF!,"普通科")=0</formula>
    </cfRule>
  </conditionalFormatting>
  <conditionalFormatting sqref="A59:C60">
    <cfRule type="expression" dxfId="129" priority="60">
      <formula>COUNTIF(#REF!,"商業に関する学科")=0</formula>
    </cfRule>
  </conditionalFormatting>
  <conditionalFormatting sqref="A61:C62">
    <cfRule type="expression" dxfId="128" priority="61">
      <formula>COUNTIF(#REF!,"工業に関する学科")=0</formula>
    </cfRule>
  </conditionalFormatting>
  <conditionalFormatting sqref="A138:C138 E138:G138 I138:K138 M138:O138">
    <cfRule type="containsBlanks" dxfId="127" priority="38">
      <formula>LEN(TRIM(A138))=0</formula>
    </cfRule>
  </conditionalFormatting>
  <conditionalFormatting sqref="A199:C199 E199:F199 H199:I199 K199:L199 N199:O199 Q199:R199 T199:U199 W199:X199 AC199:AD199">
    <cfRule type="containsBlanks" dxfId="126" priority="66">
      <formula>LEN(TRIM(A199))=0</formula>
    </cfRule>
  </conditionalFormatting>
  <conditionalFormatting sqref="A207:D208 H207:K208">
    <cfRule type="containsBlanks" dxfId="125" priority="49">
      <formula>LEN(TRIM(A207))=0</formula>
    </cfRule>
  </conditionalFormatting>
  <conditionalFormatting sqref="A51:Y75 A134:AE156">
    <cfRule type="expression" dxfId="124" priority="18">
      <formula>$AG$48="本票ⅠⅡⅢⅥ回答必要"</formula>
    </cfRule>
  </conditionalFormatting>
  <conditionalFormatting sqref="A51:Y75 A134:AE191">
    <cfRule type="expression" dxfId="123" priority="20">
      <formula>$AG$48="本票ⅠⅡⅢ回答必要"</formula>
    </cfRule>
  </conditionalFormatting>
  <conditionalFormatting sqref="A25:AE34">
    <cfRule type="expression" dxfId="122" priority="5">
      <formula>OR($AB$11="有",MID($V$9,5,1)="9")</formula>
    </cfRule>
  </conditionalFormatting>
  <conditionalFormatting sqref="A50:AE72 A73:C73 Z73:AE73 A74:AE75 A134:AE191">
    <cfRule type="expression" dxfId="121" priority="21">
      <formula>$AG$48="本票ⅡⅢ回答必要"</formula>
    </cfRule>
  </conditionalFormatting>
  <conditionalFormatting sqref="A50:AE75 A134:AE156">
    <cfRule type="expression" dxfId="120" priority="19">
      <formula>$AG$48="本票ⅡⅢⅥ回答必要"</formula>
    </cfRule>
  </conditionalFormatting>
  <conditionalFormatting sqref="A151:AE157 A50:AE54 A55:AB56 AE55:AE56 A57:C62 Z57:AE73 A73:C73 A74:AE76 A135:AE137 W138:AE150">
    <cfRule type="expression" dxfId="119" priority="53">
      <formula>AND($A$30="✔",$E$41=2)</formula>
    </cfRule>
  </conditionalFormatting>
  <conditionalFormatting sqref="A151:AE159 A186:AE191 A49:AE54 A55:AB56 AE55:AE56 A57:C62 Z57:AE73 A73:C73 A74:AE75 A135:AE137 W138:AE150 A160:Q185 AB160:AE185">
    <cfRule type="expression" dxfId="118" priority="54">
      <formula>AND($A$30="✔",$E$41=1)</formula>
    </cfRule>
  </conditionalFormatting>
  <conditionalFormatting sqref="A190:AE191">
    <cfRule type="expression" dxfId="117" priority="32">
      <formula>$R$190=""</formula>
    </cfRule>
  </conditionalFormatting>
  <conditionalFormatting sqref="A225:AE232">
    <cfRule type="expression" dxfId="116" priority="41">
      <formula>$A$219=1</formula>
    </cfRule>
  </conditionalFormatting>
  <conditionalFormatting sqref="B9:E11">
    <cfRule type="expression" dxfId="115" priority="30">
      <formula>OR($B$9="最初に選択してください",$B$9="")</formula>
    </cfRule>
  </conditionalFormatting>
  <conditionalFormatting sqref="C114:Z114 C122:Z122 C125:Z125 C128:Z128">
    <cfRule type="expression" dxfId="114" priority="11">
      <formula>$AA$116&gt;0</formula>
    </cfRule>
  </conditionalFormatting>
  <conditionalFormatting sqref="D57:K72">
    <cfRule type="containsBlanks" dxfId="113" priority="23">
      <formula>LEN(TRIM(D57))=0</formula>
    </cfRule>
  </conditionalFormatting>
  <conditionalFormatting sqref="D26:AE26 D27:P27 T27:AE27 D29:P29 T29:AE29">
    <cfRule type="containsBlanks" dxfId="112" priority="25">
      <formula>LEN(TRIM(D26))=0</formula>
    </cfRule>
  </conditionalFormatting>
  <conditionalFormatting sqref="F82:L105 U82:AA105">
    <cfRule type="containsBlanks" dxfId="111" priority="14">
      <formula>LEN(TRIM(F82))=0</formula>
    </cfRule>
  </conditionalFormatting>
  <conditionalFormatting sqref="F16:P18 T16:AE18">
    <cfRule type="containsBlanks" dxfId="110" priority="39">
      <formula>LEN(TRIM(F16))=0</formula>
    </cfRule>
  </conditionalFormatting>
  <conditionalFormatting sqref="G79:I79">
    <cfRule type="containsBlanks" dxfId="109" priority="15">
      <formula>LEN(TRIM(G79))=0</formula>
    </cfRule>
  </conditionalFormatting>
  <conditionalFormatting sqref="G114:I120 K114:M120 O114:Q120 S114:U120 W114:Y120 G122:I123 K122:M123 O122:Q123 S122:U123 W122:Y123 G125:I126 K125:M126 O125:Q126 S125:U126 W125:Y126 G128:I129 K128:M129 O128:Q129 S128:U129 W128:Y129">
    <cfRule type="containsBlanks" dxfId="108" priority="12">
      <formula>LEN(TRIM(G114))=0</formula>
    </cfRule>
  </conditionalFormatting>
  <conditionalFormatting sqref="G113:J113">
    <cfRule type="expression" dxfId="107" priority="59">
      <formula>COUNTIF(#REF!,"普通科")=0</formula>
    </cfRule>
  </conditionalFormatting>
  <conditionalFormatting sqref="G113:J130">
    <cfRule type="expression" dxfId="106" priority="10">
      <formula>AND($AG$48="",$W$57=0)</formula>
    </cfRule>
  </conditionalFormatting>
  <conditionalFormatting sqref="G146:L150 O146:T150">
    <cfRule type="containsBlanks" dxfId="105" priority="36">
      <formula>LEN(TRIM(G146))=0</formula>
    </cfRule>
  </conditionalFormatting>
  <conditionalFormatting sqref="G9:T10">
    <cfRule type="containsBlanks" dxfId="104" priority="29">
      <formula>LEN(TRIM(G9))=0</formula>
    </cfRule>
  </conditionalFormatting>
  <conditionalFormatting sqref="G9:T11 Z10:AE10">
    <cfRule type="expression" dxfId="103" priority="27">
      <formula>OR($B$9="最初に選択してください",$B$9="")</formula>
    </cfRule>
  </conditionalFormatting>
  <conditionalFormatting sqref="I153:P153">
    <cfRule type="expression" dxfId="102" priority="35">
      <formula>$I$153=""</formula>
    </cfRule>
  </conditionalFormatting>
  <conditionalFormatting sqref="K121:M121">
    <cfRule type="expression" dxfId="101" priority="4">
      <formula>AND($AG$48="",$W$57=0)</formula>
    </cfRule>
  </conditionalFormatting>
  <conditionalFormatting sqref="K113:N113">
    <cfRule type="expression" dxfId="100" priority="58">
      <formula>COUNTIF(#REF!,"商業に関する学科")=0</formula>
    </cfRule>
  </conditionalFormatting>
  <conditionalFormatting sqref="K113:N120 N121 K122:N130">
    <cfRule type="expression" dxfId="99" priority="9">
      <formula>AND($AG$48="",$W$59=0)</formula>
    </cfRule>
  </conditionalFormatting>
  <conditionalFormatting sqref="M207:P208">
    <cfRule type="expression" dxfId="98" priority="47">
      <formula>OR($H207="",$H207=0)</formula>
    </cfRule>
    <cfRule type="containsBlanks" dxfId="97" priority="48">
      <formula>LEN(TRIM(M207))=0</formula>
    </cfRule>
  </conditionalFormatting>
  <conditionalFormatting sqref="N227:O231">
    <cfRule type="expression" dxfId="96" priority="43">
      <formula>AND(OR($A$227=2,$A$227=3,$A$227=4),$N227="")</formula>
    </cfRule>
  </conditionalFormatting>
  <conditionalFormatting sqref="N225:AE232">
    <cfRule type="expression" dxfId="95" priority="40">
      <formula>$A$227=1</formula>
    </cfRule>
  </conditionalFormatting>
  <conditionalFormatting sqref="O121:Q121">
    <cfRule type="expression" dxfId="94" priority="3">
      <formula>AND($AG$48="",$W$57=0)</formula>
    </cfRule>
  </conditionalFormatting>
  <conditionalFormatting sqref="O113:R113">
    <cfRule type="expression" dxfId="93" priority="57">
      <formula>COUNTIF(#REF!,"工業に関する学科")=0</formula>
    </cfRule>
  </conditionalFormatting>
  <conditionalFormatting sqref="O113:R120 R121 O122:R130">
    <cfRule type="expression" dxfId="92" priority="8">
      <formula>AND($AG$48="",$W$61=0)</formula>
    </cfRule>
  </conditionalFormatting>
  <conditionalFormatting sqref="O57:V72 B65:C65 B67:C67 B69:C69 B71:C71">
    <cfRule type="containsBlanks" dxfId="91" priority="22">
      <formula>LEN(TRIM(B57))=0</formula>
    </cfRule>
  </conditionalFormatting>
  <conditionalFormatting sqref="P231:AE231">
    <cfRule type="expression" dxfId="90" priority="42">
      <formula>AND($N$230="○",$P$231="")</formula>
    </cfRule>
  </conditionalFormatting>
  <conditionalFormatting sqref="Q153:X153">
    <cfRule type="expression" dxfId="89" priority="34">
      <formula>$Q$153=""</formula>
    </cfRule>
  </conditionalFormatting>
  <conditionalFormatting sqref="R160:AA165 R167:AA167 S168:AA168 R169:AA171 S172:AA172 R173:AA173 R176:AA177 R179:AA179 S180:AA180 R181:AA181 R184:AA184">
    <cfRule type="containsBlanks" dxfId="88" priority="33">
      <formula>LEN(TRIM(R160))=0</formula>
    </cfRule>
  </conditionalFormatting>
  <conditionalFormatting sqref="S121:U121">
    <cfRule type="expression" dxfId="87" priority="2">
      <formula>AND($AG$48="",$W$57=0)</formula>
    </cfRule>
  </conditionalFormatting>
  <conditionalFormatting sqref="S113:V113">
    <cfRule type="expression" dxfId="86" priority="56">
      <formula>COUNTIF(#REF!,"家庭に関する学科")=0</formula>
    </cfRule>
  </conditionalFormatting>
  <conditionalFormatting sqref="S113:V120 V121 S122:V130">
    <cfRule type="expression" dxfId="85" priority="7">
      <formula>AND($AG$48="",$W$63=0)</formula>
    </cfRule>
  </conditionalFormatting>
  <conditionalFormatting sqref="U106:AA106">
    <cfRule type="expression" dxfId="84" priority="65">
      <formula>$AF$103="←「Ⅰ．入学状況・生徒数」の年齢別生徒数と一致していません。"</formula>
    </cfRule>
  </conditionalFormatting>
  <conditionalFormatting sqref="V40:W41 A44 K44 Q44">
    <cfRule type="containsBlanks" dxfId="83" priority="64">
      <formula>LEN(TRIM(A40))=0</formula>
    </cfRule>
  </conditionalFormatting>
  <conditionalFormatting sqref="V40:W41">
    <cfRule type="expression" dxfId="82" priority="63">
      <formula>$V$37="選択↓"</formula>
    </cfRule>
  </conditionalFormatting>
  <conditionalFormatting sqref="W121:Y121">
    <cfRule type="expression" dxfId="81" priority="1">
      <formula>AND($AG$48="",$W$57=0)</formula>
    </cfRule>
  </conditionalFormatting>
  <conditionalFormatting sqref="W113:Z113">
    <cfRule type="expression" dxfId="80" priority="55">
      <formula>COUNTIF(#REF!,"その他の学科")=0</formula>
    </cfRule>
  </conditionalFormatting>
  <conditionalFormatting sqref="W113:Z120 Z121 W122:Z130">
    <cfRule type="expression" dxfId="79" priority="6">
      <formula>AND($AG$48="",SUM($W$65:$Y$72)=0)</formula>
    </cfRule>
  </conditionalFormatting>
  <conditionalFormatting sqref="Z10:AE10">
    <cfRule type="expression" dxfId="78" priority="28">
      <formula>OR($Z$10="↑④に変更がある場合は選択",$Z$10="")</formula>
    </cfRule>
  </conditionalFormatting>
  <conditionalFormatting sqref="AA116">
    <cfRule type="containsBlanks" dxfId="77" priority="13">
      <formula>LEN(TRIM(AA116))=0</formula>
    </cfRule>
  </conditionalFormatting>
  <conditionalFormatting sqref="AC55:AD55">
    <cfRule type="expression" dxfId="76" priority="17">
      <formula>$Q$44=2</formula>
    </cfRule>
  </conditionalFormatting>
  <conditionalFormatting sqref="AC55:AD56">
    <cfRule type="containsBlanks" dxfId="75" priority="24">
      <formula>LEN(TRIM(AC55))=0</formula>
    </cfRule>
  </conditionalFormatting>
  <conditionalFormatting sqref="AC56:AD56">
    <cfRule type="expression" dxfId="74" priority="16">
      <formula>$Q$44=1</formula>
    </cfRule>
  </conditionalFormatting>
  <conditionalFormatting sqref="AF1:AF7 AF10:AF152 AF155:AF208 AF210:AF218 AF222:AF1048576">
    <cfRule type="notContainsBlanks" dxfId="73" priority="52">
      <formula>LEN(TRIM(AF1))&gt;0</formula>
    </cfRule>
  </conditionalFormatting>
  <conditionalFormatting sqref="AF8:AF9">
    <cfRule type="notContainsBlanks" dxfId="72" priority="31">
      <formula>LEN(TRIM(AF8))&gt;0</formula>
    </cfRule>
  </conditionalFormatting>
  <conditionalFormatting sqref="AF153:AF154">
    <cfRule type="notContainsBlanks" dxfId="71" priority="37">
      <formula>LEN(TRIM(AF153))&gt;0</formula>
    </cfRule>
  </conditionalFormatting>
  <conditionalFormatting sqref="AF219">
    <cfRule type="notContainsBlanks" dxfId="70" priority="45">
      <formula>LEN(TRIM(AF219))&gt;0</formula>
    </cfRule>
  </conditionalFormatting>
  <conditionalFormatting sqref="AN51:AN54">
    <cfRule type="notContainsBlanks" dxfId="69" priority="51">
      <formula>LEN(TRIM(AN51))&gt;0</formula>
    </cfRule>
  </conditionalFormatting>
  <conditionalFormatting sqref="AP51:AP54">
    <cfRule type="notContainsBlanks" dxfId="68" priority="50">
      <formula>LEN(TRIM(AP51))&gt;0</formula>
    </cfRule>
  </conditionalFormatting>
  <dataValidations count="14">
    <dataValidation type="list" allowBlank="1" showInputMessage="1" showErrorMessage="1" sqref="A227:B230" xr:uid="{FD48F7E2-CE52-4E15-AA5B-3AF51EAAEA58}">
      <formula1>$AI$1:$AI$5</formula1>
    </dataValidation>
    <dataValidation type="list" allowBlank="1" showInputMessage="1" showErrorMessage="1" sqref="A44 E44 K44" xr:uid="{205ACE0D-5E4D-4A37-AC58-3243B5613A95}">
      <formula1>$AI$1:$AI$3</formula1>
    </dataValidation>
    <dataValidation type="list" allowBlank="1" showInputMessage="1" showErrorMessage="1" sqref="A34:B34" xr:uid="{9322258B-8A01-40FD-AC20-9D202544143B}">
      <formula1>$AH$1:$AH$2</formula1>
    </dataValidation>
    <dataValidation type="list" allowBlank="1" showInputMessage="1" showErrorMessage="1" sqref="B9:E11" xr:uid="{33C462DB-C9AA-4340-8237-EDD589C6EB9F}">
      <formula1>$AM$240:$AM$286</formula1>
    </dataValidation>
    <dataValidation allowBlank="1" showInputMessage="1" showErrorMessage="1" promptTitle="（！）単位は「円」です" prompt="全日制・定時制を除く、通信制のみの事業活動収支内訳を入力してください" sqref="R160:AA160" xr:uid="{6C1E10E3-1833-475B-9DCA-00697428C989}"/>
    <dataValidation imeMode="halfAlpha" allowBlank="1" showInputMessage="1" showErrorMessage="1" sqref="D57:K72 O57:V72" xr:uid="{F8AF0549-DC8E-4A3A-B5A1-D766ABDAA552}"/>
    <dataValidation type="list" allowBlank="1" showInputMessage="1" showErrorMessage="1" sqref="V40:W41" xr:uid="{BF783731-A0E4-469B-9A91-5E6767AA1CA0}">
      <formula1>$AJ$1:$AJ$3</formula1>
    </dataValidation>
    <dataValidation allowBlank="1" showInputMessage="1" showErrorMessage="1" prompt="「１単位当り授業料」が設定されている場合は、先に備考欄に回答してください。_x000a_備考欄に回答した場合は、本欄への回答は不要です。" sqref="G114:I114 K114:M114 O114:Q114 S114:U114 W114:Y114" xr:uid="{FEA1DED4-F33D-4420-B469-460222CB8700}"/>
    <dataValidation type="list" allowBlank="1" showInputMessage="1" showErrorMessage="1" sqref="X80:Y80" xr:uid="{227AD268-E0C0-4703-BBDA-1AAFE4BCE0A7}">
      <formula1>$AD$79:$AE$79</formula1>
    </dataValidation>
    <dataValidation type="list" allowBlank="1" showInputMessage="1" showErrorMessage="1" sqref="Q44 A219:B221" xr:uid="{8EF0DF33-CCE8-49B3-93E9-868B29AF69FB}">
      <formula1>$AI$1:$AI$4</formula1>
    </dataValidation>
    <dataValidation type="list" allowBlank="1" showInputMessage="1" showErrorMessage="1" sqref="N227:O231" xr:uid="{E6ACD22C-E393-431A-B208-AA07E014E63F}">
      <formula1>$AK$1:$AK$2</formula1>
    </dataValidation>
    <dataValidation type="list" allowBlank="1" showInputMessage="1" showErrorMessage="1" sqref="Z10:AE10" xr:uid="{08584BFF-1E1F-4283-826B-D8B788D4B11D}">
      <formula1>"↑④に変更がある場合は選択,通信制,全/通信制,定/通信制,全/定/通,全/通/専,通/専攻科,全/定/通/専"</formula1>
    </dataValidation>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10" xr:uid="{8DCF4105-9CAF-48A3-80EA-C2A95B4CCD46}">
      <formula1>INDIRECT($B$9)</formula1>
    </dataValidation>
    <dataValidation imeMode="fullKatakana" allowBlank="1" showInputMessage="1" showErrorMessage="1" sqref="F17:P17" xr:uid="{A9DEDA1F-0FEB-4CE1-9E0F-18D3CB562C07}"/>
  </dataValidations>
  <printOptions horizontalCentered="1"/>
  <pageMargins left="0.39370078740157483" right="0.39370078740157483" top="0.19685039370078741" bottom="0" header="0.59055118110236227" footer="0.11811023622047245"/>
  <pageSetup paperSize="9" scale="90" fitToHeight="0" orientation="portrait" r:id="rId1"/>
  <headerFooter alignWithMargins="0">
    <oddFooter>&amp;C&amp;"ＭＳ Ｐゴシック,標準"&amp;10&amp;P</oddFooter>
  </headerFooter>
  <rowBreaks count="4" manualBreakCount="4">
    <brk id="46" max="16383" man="1"/>
    <brk id="76" max="16383" man="1"/>
    <brk id="133" max="30" man="1"/>
    <brk id="19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B3046-5823-4608-A92B-1B42C6B98362}">
  <sheetPr>
    <tabColor rgb="FFCCFFCC"/>
  </sheetPr>
  <dimension ref="A1:BB156"/>
  <sheetViews>
    <sheetView zoomScaleNormal="100" zoomScaleSheetLayoutView="100" workbookViewId="0">
      <selection activeCell="G9" sqref="G9:T10"/>
    </sheetView>
  </sheetViews>
  <sheetFormatPr defaultRowHeight="10.5"/>
  <cols>
    <col min="1" max="31" width="4.1640625" customWidth="1"/>
    <col min="32" max="32" width="91.6640625" style="493" customWidth="1"/>
    <col min="33" max="33" width="0" hidden="1" customWidth="1"/>
    <col min="34" max="34" width="21.5" hidden="1" customWidth="1"/>
    <col min="35" max="35" width="30.33203125" hidden="1" customWidth="1"/>
    <col min="36" max="36" width="9.33203125" hidden="1" customWidth="1"/>
    <col min="37" max="61" width="0" hidden="1" customWidth="1"/>
  </cols>
  <sheetData>
    <row r="1" spans="1:32" ht="18.75">
      <c r="A1" s="911" t="s">
        <v>1265</v>
      </c>
      <c r="B1" s="911"/>
      <c r="C1" s="911"/>
      <c r="D1" s="911"/>
      <c r="E1" s="911"/>
      <c r="F1" s="911"/>
      <c r="G1" s="911"/>
      <c r="H1" s="911"/>
      <c r="I1" s="911"/>
      <c r="J1" s="911"/>
      <c r="K1" s="911"/>
      <c r="L1" s="911"/>
      <c r="M1" s="911"/>
      <c r="N1" s="911"/>
      <c r="O1" s="911"/>
      <c r="P1" s="911"/>
      <c r="Q1" s="911"/>
      <c r="R1" s="911"/>
      <c r="S1" s="911"/>
      <c r="T1" s="911"/>
      <c r="U1" s="911"/>
      <c r="V1" s="911"/>
      <c r="W1" s="911"/>
      <c r="X1" s="911"/>
      <c r="Y1" s="911"/>
      <c r="Z1" s="911"/>
      <c r="AA1" s="911"/>
      <c r="AB1" s="911"/>
      <c r="AC1" s="911"/>
      <c r="AD1" s="911"/>
      <c r="AE1" s="911"/>
    </row>
    <row r="2" spans="1:32">
      <c r="A2" s="912" t="s">
        <v>1327</v>
      </c>
      <c r="B2" s="912"/>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row>
    <row r="3" spans="1:32">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row>
    <row r="4" spans="1:32">
      <c r="A4" s="913" t="s">
        <v>1856</v>
      </c>
      <c r="B4" s="913"/>
      <c r="C4" s="913"/>
      <c r="D4" s="913"/>
      <c r="E4" s="913"/>
      <c r="F4" s="913"/>
      <c r="G4" s="913"/>
      <c r="H4" s="913"/>
      <c r="I4" s="913"/>
      <c r="J4" s="913"/>
      <c r="K4" s="913"/>
      <c r="L4" s="913"/>
      <c r="M4" s="913"/>
      <c r="N4" s="913"/>
      <c r="O4" s="913"/>
      <c r="P4" s="913"/>
      <c r="Q4" s="913"/>
      <c r="R4" s="913"/>
      <c r="S4" s="913"/>
      <c r="T4" s="913"/>
      <c r="U4" s="913"/>
      <c r="V4" s="913"/>
      <c r="W4" s="913"/>
      <c r="X4" s="913"/>
      <c r="Y4" s="913"/>
      <c r="Z4" s="913"/>
      <c r="AA4" s="913"/>
      <c r="AB4" s="913"/>
      <c r="AC4" s="913"/>
      <c r="AD4" s="913"/>
      <c r="AE4" s="913"/>
    </row>
    <row r="5" spans="1:32">
      <c r="A5" s="913"/>
      <c r="B5" s="913"/>
      <c r="C5" s="913"/>
      <c r="D5" s="913"/>
      <c r="E5" s="913"/>
      <c r="F5" s="913"/>
      <c r="G5" s="913"/>
      <c r="H5" s="913"/>
      <c r="I5" s="913"/>
      <c r="J5" s="913"/>
      <c r="K5" s="913"/>
      <c r="L5" s="913"/>
      <c r="M5" s="913"/>
      <c r="N5" s="913"/>
      <c r="O5" s="913"/>
      <c r="P5" s="913"/>
      <c r="Q5" s="913"/>
      <c r="R5" s="913"/>
      <c r="S5" s="913"/>
      <c r="T5" s="913"/>
      <c r="U5" s="913"/>
      <c r="V5" s="913"/>
      <c r="W5" s="913"/>
      <c r="X5" s="913"/>
      <c r="Y5" s="913"/>
      <c r="Z5" s="913"/>
      <c r="AA5" s="913"/>
      <c r="AB5" s="913"/>
      <c r="AC5" s="913"/>
      <c r="AD5" s="913"/>
      <c r="AE5" s="913"/>
    </row>
    <row r="6" spans="1:32" ht="13.5">
      <c r="A6" s="494"/>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row>
    <row r="7" spans="1:32" ht="14.25" thickBot="1">
      <c r="A7" s="494"/>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4"/>
      <c r="AE7" s="494"/>
    </row>
    <row r="8" spans="1:32" ht="12">
      <c r="A8" s="495"/>
      <c r="B8" s="914" t="s">
        <v>1269</v>
      </c>
      <c r="C8" s="915"/>
      <c r="D8" s="915"/>
      <c r="E8" s="916"/>
      <c r="F8" s="495"/>
      <c r="G8" s="914" t="s">
        <v>1270</v>
      </c>
      <c r="H8" s="915"/>
      <c r="I8" s="915"/>
      <c r="J8" s="915"/>
      <c r="K8" s="915"/>
      <c r="L8" s="915"/>
      <c r="M8" s="915"/>
      <c r="N8" s="915"/>
      <c r="O8" s="915"/>
      <c r="P8" s="915"/>
      <c r="Q8" s="915"/>
      <c r="R8" s="915"/>
      <c r="S8" s="915"/>
      <c r="T8" s="916"/>
      <c r="U8" s="495"/>
      <c r="V8" s="917" t="s">
        <v>1271</v>
      </c>
      <c r="W8" s="918"/>
      <c r="X8" s="918"/>
      <c r="Y8" s="919"/>
      <c r="Z8" s="495"/>
      <c r="AA8" s="496"/>
      <c r="AB8" s="496"/>
      <c r="AC8" s="496"/>
      <c r="AD8" s="496"/>
      <c r="AE8" s="496"/>
      <c r="AF8" s="493" t="str">
        <f>IF(AF9="←②で旧校名を選択してください。表示されない場合はお問い合わせください","",
IF(OR(B9="最初に選択してください",B9=""),"←①都道府県名を選択してください",
IF(G9="","←②学校名を選択してください",
"")))</f>
        <v>←①都道府県名を選択してください</v>
      </c>
    </row>
    <row r="9" spans="1:32" ht="30" customHeight="1" thickBot="1">
      <c r="A9" s="495"/>
      <c r="B9" s="897" t="s">
        <v>1330</v>
      </c>
      <c r="C9" s="898"/>
      <c r="D9" s="898"/>
      <c r="E9" s="899"/>
      <c r="F9" s="497" t="s">
        <v>1857</v>
      </c>
      <c r="G9" s="900"/>
      <c r="H9" s="901"/>
      <c r="I9" s="901"/>
      <c r="J9" s="901"/>
      <c r="K9" s="901"/>
      <c r="L9" s="901"/>
      <c r="M9" s="901"/>
      <c r="N9" s="901"/>
      <c r="O9" s="901"/>
      <c r="P9" s="901"/>
      <c r="Q9" s="901"/>
      <c r="R9" s="901"/>
      <c r="S9" s="901"/>
      <c r="T9" s="902"/>
      <c r="U9" s="497" t="s">
        <v>1857</v>
      </c>
      <c r="V9" s="903" t="str">
        <f>IFERROR(VLOOKUP(CONCATENATE(B9&amp;G9),AI91:AJ156,2,FALSE),"自動取得")</f>
        <v>自動取得</v>
      </c>
      <c r="W9" s="904"/>
      <c r="X9" s="904"/>
      <c r="Y9" s="905"/>
      <c r="Z9" s="495"/>
      <c r="AA9" s="496"/>
      <c r="AB9" s="496"/>
      <c r="AC9" s="496"/>
      <c r="AD9" s="496"/>
      <c r="AE9" s="496"/>
      <c r="AF9" s="493" t="str">
        <f>IF(AND(B9&lt;&gt;"",B9&lt;&gt;"最初に選択してください"),
IF(AND(B9&lt;&gt;"",G9="",I10&lt;&gt;"",OR(IFERROR(V9,"")="",IFERROR(V9,"")="自動取得")),"←②で旧校名を選択してください。表示されない場合はお問い合わせください",
IF(AND(B9&lt;&gt;"",G9&lt;&gt;"",OR(IFERROR(V9,"")="",IFERROR(V9,"")="自動取得")),"←③学校コードが未取得です。事務局までお問い合わせください。",
"")),"")</f>
        <v/>
      </c>
    </row>
    <row r="10" spans="1:32" ht="24" customHeight="1" thickBot="1">
      <c r="A10" s="495"/>
      <c r="B10" s="495"/>
      <c r="C10" s="495"/>
      <c r="D10" s="495"/>
      <c r="E10" s="495"/>
      <c r="F10" s="495"/>
      <c r="G10" s="906" t="s">
        <v>1858</v>
      </c>
      <c r="H10" s="907"/>
      <c r="I10" s="898"/>
      <c r="J10" s="898"/>
      <c r="K10" s="898"/>
      <c r="L10" s="898"/>
      <c r="M10" s="898"/>
      <c r="N10" s="898"/>
      <c r="O10" s="898"/>
      <c r="P10" s="898"/>
      <c r="Q10" s="898"/>
      <c r="R10" s="898"/>
      <c r="S10" s="898"/>
      <c r="T10" s="899"/>
      <c r="U10" s="495"/>
      <c r="V10" s="495"/>
      <c r="W10" s="495"/>
      <c r="X10" s="495"/>
      <c r="Y10" s="495"/>
      <c r="Z10" s="495"/>
      <c r="AA10" s="495"/>
      <c r="AB10" s="495"/>
      <c r="AC10" s="495"/>
      <c r="AD10" s="495"/>
      <c r="AE10" s="495"/>
    </row>
    <row r="11" spans="1:32" ht="12.75" thickBot="1">
      <c r="A11" s="495"/>
      <c r="B11" s="495"/>
      <c r="C11" s="495"/>
      <c r="D11" s="495"/>
      <c r="E11" s="495"/>
      <c r="F11" s="495"/>
      <c r="G11" s="498"/>
      <c r="H11" s="495"/>
      <c r="I11" s="498"/>
      <c r="J11" s="495"/>
      <c r="K11" s="495"/>
      <c r="L11" s="495"/>
      <c r="M11" s="495"/>
      <c r="N11" s="495"/>
      <c r="O11" s="495"/>
      <c r="P11" s="495"/>
      <c r="Q11" s="495"/>
      <c r="R11" s="495"/>
      <c r="S11" s="495"/>
      <c r="T11" s="495"/>
      <c r="U11" s="495"/>
      <c r="V11" s="495"/>
      <c r="W11" s="495"/>
      <c r="X11" s="495"/>
      <c r="Y11" s="495"/>
      <c r="Z11" s="495"/>
      <c r="AA11" s="495"/>
      <c r="AB11" s="495"/>
      <c r="AC11" s="495"/>
      <c r="AD11" s="495"/>
      <c r="AE11" s="495"/>
    </row>
    <row r="12" spans="1:32" ht="12">
      <c r="A12" s="908" t="s">
        <v>1859</v>
      </c>
      <c r="B12" s="909"/>
      <c r="C12" s="909"/>
      <c r="D12" s="909"/>
      <c r="E12" s="909"/>
      <c r="F12" s="909"/>
      <c r="G12" s="909"/>
      <c r="H12" s="909"/>
      <c r="I12" s="909"/>
      <c r="J12" s="909"/>
      <c r="K12" s="909"/>
      <c r="L12" s="909"/>
      <c r="M12" s="909"/>
      <c r="N12" s="909"/>
      <c r="O12" s="909"/>
      <c r="P12" s="909"/>
      <c r="Q12" s="909"/>
      <c r="R12" s="909"/>
      <c r="S12" s="909"/>
      <c r="T12" s="909"/>
      <c r="U12" s="909"/>
      <c r="V12" s="909"/>
      <c r="W12" s="909"/>
      <c r="X12" s="909"/>
      <c r="Y12" s="909"/>
      <c r="Z12" s="909"/>
      <c r="AA12" s="909"/>
      <c r="AB12" s="909"/>
      <c r="AC12" s="909"/>
      <c r="AD12" s="909"/>
      <c r="AE12" s="910"/>
    </row>
    <row r="13" spans="1:32" ht="18" customHeight="1">
      <c r="A13" s="866" t="s">
        <v>1216</v>
      </c>
      <c r="B13" s="867"/>
      <c r="C13" s="868"/>
      <c r="D13" s="873" t="s">
        <v>4</v>
      </c>
      <c r="E13" s="874"/>
      <c r="F13" s="875"/>
      <c r="G13" s="875"/>
      <c r="H13" s="875"/>
      <c r="I13" s="875"/>
      <c r="J13" s="875"/>
      <c r="K13" s="875"/>
      <c r="L13" s="875"/>
      <c r="M13" s="875"/>
      <c r="N13" s="875"/>
      <c r="O13" s="875"/>
      <c r="P13" s="876"/>
      <c r="Q13" s="877" t="s">
        <v>3</v>
      </c>
      <c r="R13" s="878"/>
      <c r="S13" s="879"/>
      <c r="T13" s="880"/>
      <c r="U13" s="881"/>
      <c r="V13" s="881"/>
      <c r="W13" s="881"/>
      <c r="X13" s="881"/>
      <c r="Y13" s="881"/>
      <c r="Z13" s="881"/>
      <c r="AA13" s="881"/>
      <c r="AB13" s="881"/>
      <c r="AC13" s="881"/>
      <c r="AD13" s="881"/>
      <c r="AE13" s="882"/>
      <c r="AF13" s="493" t="str">
        <f>IF(F15="","←問い合わせ先氏名を記入してください","")</f>
        <v>←問い合わせ先氏名を記入してください</v>
      </c>
    </row>
    <row r="14" spans="1:32" ht="11.25" customHeight="1">
      <c r="A14" s="869"/>
      <c r="B14" s="867"/>
      <c r="C14" s="868"/>
      <c r="D14" s="883" t="s">
        <v>0</v>
      </c>
      <c r="E14" s="884"/>
      <c r="F14" s="885"/>
      <c r="G14" s="885"/>
      <c r="H14" s="885"/>
      <c r="I14" s="885"/>
      <c r="J14" s="885"/>
      <c r="K14" s="885"/>
      <c r="L14" s="885"/>
      <c r="M14" s="885"/>
      <c r="N14" s="885"/>
      <c r="O14" s="885"/>
      <c r="P14" s="886"/>
      <c r="Q14" s="887" t="s">
        <v>1266</v>
      </c>
      <c r="R14" s="874"/>
      <c r="S14" s="874"/>
      <c r="T14" s="889"/>
      <c r="U14" s="890"/>
      <c r="V14" s="890"/>
      <c r="W14" s="890"/>
      <c r="X14" s="890"/>
      <c r="Y14" s="890"/>
      <c r="Z14" s="890"/>
      <c r="AA14" s="890"/>
      <c r="AB14" s="890"/>
      <c r="AC14" s="890"/>
      <c r="AD14" s="890"/>
      <c r="AE14" s="891"/>
      <c r="AF14" s="493" t="str">
        <f>IF(T13="","←問い合わせ先電話番号を記入してください","")</f>
        <v>←問い合わせ先電話番号を記入してください</v>
      </c>
    </row>
    <row r="15" spans="1:32" ht="26.25" customHeight="1" thickBot="1">
      <c r="A15" s="870"/>
      <c r="B15" s="871"/>
      <c r="C15" s="872"/>
      <c r="D15" s="895" t="s">
        <v>1217</v>
      </c>
      <c r="E15" s="896"/>
      <c r="F15" s="852"/>
      <c r="G15" s="852"/>
      <c r="H15" s="852"/>
      <c r="I15" s="852"/>
      <c r="J15" s="852"/>
      <c r="K15" s="852"/>
      <c r="L15" s="852"/>
      <c r="M15" s="852"/>
      <c r="N15" s="852"/>
      <c r="O15" s="852"/>
      <c r="P15" s="853"/>
      <c r="Q15" s="888"/>
      <c r="R15" s="888"/>
      <c r="S15" s="888"/>
      <c r="T15" s="892"/>
      <c r="U15" s="893"/>
      <c r="V15" s="893"/>
      <c r="W15" s="893"/>
      <c r="X15" s="893"/>
      <c r="Y15" s="893"/>
      <c r="Z15" s="893"/>
      <c r="AA15" s="893"/>
      <c r="AB15" s="893"/>
      <c r="AC15" s="893"/>
      <c r="AD15" s="893"/>
      <c r="AE15" s="894"/>
      <c r="AF15" s="493" t="str">
        <f>IF(T14="","←問い合わせ先メールを記入してください","")</f>
        <v>←問い合わせ先メールを記入してください</v>
      </c>
    </row>
    <row r="16" spans="1:32">
      <c r="A16" s="496"/>
      <c r="B16" s="496"/>
      <c r="C16" s="496"/>
      <c r="D16" s="496"/>
      <c r="E16" s="496"/>
      <c r="F16" s="496"/>
      <c r="G16" s="496"/>
      <c r="H16" s="496"/>
      <c r="I16" s="496"/>
      <c r="J16" s="496"/>
      <c r="K16" s="496"/>
      <c r="L16" s="496"/>
      <c r="M16" s="496"/>
      <c r="N16" s="496"/>
      <c r="O16" s="496"/>
      <c r="P16" s="496"/>
      <c r="Q16" s="496" t="s">
        <v>1331</v>
      </c>
      <c r="R16" s="496"/>
      <c r="S16" s="496"/>
      <c r="T16" s="496"/>
      <c r="U16" s="496"/>
      <c r="V16" s="496"/>
      <c r="W16" s="496"/>
      <c r="X16" s="496"/>
      <c r="Y16" s="496"/>
      <c r="Z16" s="496"/>
      <c r="AA16" s="496"/>
      <c r="AB16" s="496"/>
      <c r="AC16" s="496"/>
      <c r="AD16" s="496"/>
      <c r="AE16" s="496"/>
    </row>
    <row r="17" spans="1:54" ht="6.75" customHeight="1">
      <c r="A17" s="496"/>
      <c r="B17" s="496"/>
      <c r="C17" s="496"/>
      <c r="D17" s="496"/>
      <c r="E17" s="496"/>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row>
    <row r="18" spans="1:54" ht="24">
      <c r="A18" s="854" t="s">
        <v>1860</v>
      </c>
      <c r="B18" s="854"/>
      <c r="C18" s="854"/>
      <c r="D18" s="854"/>
      <c r="E18" s="854"/>
      <c r="F18" s="854"/>
      <c r="G18" s="854"/>
      <c r="H18" s="854"/>
      <c r="I18" s="854"/>
      <c r="J18" s="854"/>
      <c r="K18" s="854"/>
      <c r="L18" s="854"/>
      <c r="M18" s="854"/>
      <c r="N18" s="854"/>
      <c r="O18" s="854"/>
      <c r="P18" s="854"/>
      <c r="Q18" s="854"/>
      <c r="R18" s="854"/>
      <c r="S18" s="854"/>
      <c r="T18" s="854"/>
      <c r="U18" s="854"/>
      <c r="V18" s="854"/>
      <c r="W18" s="854"/>
      <c r="X18" s="854"/>
      <c r="Y18" s="854"/>
      <c r="Z18" s="854"/>
      <c r="AA18" s="854"/>
      <c r="AB18" s="854"/>
      <c r="AC18" s="854"/>
      <c r="AD18" s="854"/>
      <c r="AE18" s="854"/>
    </row>
    <row r="19" spans="1:54" ht="9" customHeight="1" thickBot="1">
      <c r="A19" s="499"/>
      <c r="B19" s="499"/>
      <c r="C19" s="499"/>
      <c r="D19" s="499"/>
      <c r="E19" s="499"/>
      <c r="F19" s="499"/>
      <c r="G19" s="499"/>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row>
    <row r="20" spans="1:54" ht="12">
      <c r="A20" s="500" t="s">
        <v>1861</v>
      </c>
      <c r="B20" s="501"/>
      <c r="C20" s="501"/>
      <c r="D20" s="501"/>
      <c r="E20" s="501"/>
      <c r="F20" s="501"/>
      <c r="G20" s="502"/>
      <c r="H20" s="855" t="s">
        <v>1337</v>
      </c>
      <c r="I20" s="725"/>
      <c r="J20" s="503" t="s">
        <v>1862</v>
      </c>
      <c r="K20" s="504"/>
      <c r="L20" s="504"/>
      <c r="M20" s="504"/>
      <c r="N20" s="504"/>
      <c r="O20" s="504"/>
      <c r="P20" s="504"/>
      <c r="Q20" s="505"/>
      <c r="R20" s="505"/>
      <c r="S20" s="506"/>
      <c r="T20" s="505"/>
      <c r="U20" s="505"/>
      <c r="V20" s="505"/>
      <c r="W20" s="505"/>
      <c r="X20" s="507"/>
      <c r="Y20" s="508"/>
      <c r="Z20" s="508"/>
      <c r="AA20" s="508"/>
      <c r="AB20" s="509"/>
      <c r="AC20" s="509"/>
      <c r="AD20" s="509"/>
      <c r="AE20" s="506"/>
    </row>
    <row r="21" spans="1:54" ht="12">
      <c r="A21" s="510">
        <v>1</v>
      </c>
      <c r="B21" s="511" t="s">
        <v>1863</v>
      </c>
      <c r="C21" s="512"/>
      <c r="D21" s="512"/>
      <c r="E21" s="495"/>
      <c r="F21" s="495"/>
      <c r="G21" s="513"/>
      <c r="H21" s="514"/>
      <c r="I21" s="515">
        <v>2</v>
      </c>
      <c r="J21" s="727" t="s">
        <v>1864</v>
      </c>
      <c r="K21" s="727"/>
      <c r="L21" s="727"/>
      <c r="M21" s="727"/>
      <c r="N21" s="727"/>
      <c r="O21" s="727"/>
      <c r="P21" s="727"/>
      <c r="Q21" s="727"/>
      <c r="R21" s="727"/>
      <c r="S21" s="727"/>
      <c r="T21" s="727"/>
      <c r="U21" s="727"/>
      <c r="V21" s="727"/>
      <c r="W21" s="727"/>
      <c r="X21" s="727"/>
      <c r="Y21" s="727"/>
      <c r="Z21" s="727"/>
      <c r="AA21" s="727"/>
      <c r="AB21" s="727"/>
      <c r="AC21" s="727"/>
      <c r="AD21" s="727"/>
      <c r="AE21" s="727"/>
    </row>
    <row r="22" spans="1:54" ht="12">
      <c r="A22" s="510">
        <v>2</v>
      </c>
      <c r="B22" s="511" t="s">
        <v>1865</v>
      </c>
      <c r="C22" s="512"/>
      <c r="D22" s="512"/>
      <c r="E22" s="495"/>
      <c r="F22" s="495"/>
      <c r="G22" s="513"/>
      <c r="H22" s="516"/>
      <c r="I22" s="515"/>
      <c r="J22" s="727"/>
      <c r="K22" s="727"/>
      <c r="L22" s="727"/>
      <c r="M22" s="727"/>
      <c r="N22" s="727"/>
      <c r="O22" s="727"/>
      <c r="P22" s="727"/>
      <c r="Q22" s="727"/>
      <c r="R22" s="727"/>
      <c r="S22" s="727"/>
      <c r="T22" s="727"/>
      <c r="U22" s="727"/>
      <c r="V22" s="727"/>
      <c r="W22" s="727"/>
      <c r="X22" s="727"/>
      <c r="Y22" s="727"/>
      <c r="Z22" s="727"/>
      <c r="AA22" s="727"/>
      <c r="AB22" s="727"/>
      <c r="AC22" s="727"/>
      <c r="AD22" s="727"/>
      <c r="AE22" s="727"/>
    </row>
    <row r="23" spans="1:54" ht="12">
      <c r="A23" s="510">
        <v>3</v>
      </c>
      <c r="B23" s="511" t="s">
        <v>1866</v>
      </c>
      <c r="C23" s="512"/>
      <c r="D23" s="512"/>
      <c r="E23" s="495"/>
      <c r="F23" s="495"/>
      <c r="G23" s="513"/>
      <c r="H23" s="517"/>
      <c r="I23" s="518"/>
      <c r="J23" s="495"/>
      <c r="K23" s="495"/>
      <c r="L23" s="495"/>
      <c r="M23" s="519"/>
      <c r="N23" s="519"/>
      <c r="O23" s="519"/>
      <c r="P23" s="519"/>
      <c r="Q23" s="519"/>
      <c r="R23" s="519"/>
      <c r="S23" s="495"/>
      <c r="T23" s="856" t="s">
        <v>1867</v>
      </c>
      <c r="U23" s="856"/>
      <c r="V23" s="856"/>
      <c r="W23" s="856"/>
      <c r="X23" s="856"/>
      <c r="Y23" s="856"/>
      <c r="Z23" s="856"/>
      <c r="AA23" s="856"/>
      <c r="AB23" s="856"/>
      <c r="AC23" s="495"/>
      <c r="AD23" s="495"/>
      <c r="AE23" s="495"/>
    </row>
    <row r="24" spans="1:54" ht="12.75" thickBot="1">
      <c r="A24" s="520" t="s">
        <v>1357</v>
      </c>
      <c r="B24" s="495"/>
      <c r="C24" s="495"/>
      <c r="D24" s="521"/>
      <c r="E24" s="521"/>
      <c r="F24" s="522"/>
      <c r="G24" s="513"/>
      <c r="H24" s="523"/>
      <c r="I24" s="524"/>
      <c r="J24" s="495"/>
      <c r="K24" s="495"/>
      <c r="L24" s="495"/>
      <c r="M24" s="519"/>
      <c r="N24" s="519"/>
      <c r="O24" s="519"/>
      <c r="P24" s="519"/>
      <c r="Q24" s="519"/>
      <c r="R24" s="519"/>
      <c r="S24" s="495"/>
      <c r="T24" s="857" t="s">
        <v>1218</v>
      </c>
      <c r="U24" s="857"/>
      <c r="V24" s="858"/>
      <c r="W24" s="525"/>
      <c r="X24" s="525"/>
      <c r="Y24" s="525"/>
      <c r="Z24" s="525"/>
      <c r="AA24" s="525"/>
      <c r="AB24" s="526"/>
      <c r="AC24" s="495"/>
      <c r="AD24" s="495"/>
      <c r="AE24" s="495"/>
      <c r="AG24">
        <v>7</v>
      </c>
      <c r="AH24" s="527">
        <v>29</v>
      </c>
      <c r="AI24" s="528">
        <v>30</v>
      </c>
      <c r="AJ24" s="528">
        <v>31</v>
      </c>
      <c r="AK24" s="529">
        <v>32</v>
      </c>
    </row>
    <row r="25" spans="1:54" ht="18" customHeight="1" thickBot="1">
      <c r="A25" s="530"/>
      <c r="B25" s="531" t="s">
        <v>1868</v>
      </c>
      <c r="C25" s="532"/>
      <c r="D25" s="532"/>
      <c r="E25" s="532"/>
      <c r="F25" s="533"/>
      <c r="G25" s="534"/>
      <c r="H25" s="535"/>
      <c r="I25" s="536"/>
      <c r="J25" s="495"/>
      <c r="K25" s="495"/>
      <c r="L25" s="495"/>
      <c r="M25" s="519"/>
      <c r="N25" s="519"/>
      <c r="O25" s="519"/>
      <c r="P25" s="519"/>
      <c r="Q25" s="519"/>
      <c r="R25" s="519"/>
      <c r="S25" s="495"/>
      <c r="T25" s="859"/>
      <c r="U25" s="859"/>
      <c r="V25" s="860"/>
      <c r="W25" s="861" t="s">
        <v>1219</v>
      </c>
      <c r="X25" s="862"/>
      <c r="Y25" s="863"/>
      <c r="Z25" s="864" t="s">
        <v>1220</v>
      </c>
      <c r="AA25" s="865"/>
      <c r="AB25" s="865"/>
      <c r="AC25" s="495"/>
      <c r="AD25" s="495"/>
      <c r="AE25" s="495"/>
      <c r="AF25" s="493" t="str">
        <f>IF(A25="",AG25,"")</f>
        <v>←男女共学別を選択してください</v>
      </c>
      <c r="AG25" t="s">
        <v>1869</v>
      </c>
      <c r="AH25" s="537" t="s">
        <v>1870</v>
      </c>
      <c r="AI25" s="538" t="s">
        <v>1871</v>
      </c>
      <c r="AJ25" s="538" t="s">
        <v>1872</v>
      </c>
      <c r="AK25" s="539" t="s">
        <v>1873</v>
      </c>
    </row>
    <row r="26" spans="1:54" ht="22.5" customHeight="1" thickBot="1">
      <c r="A26" s="540"/>
      <c r="B26" s="541"/>
      <c r="C26" s="542"/>
      <c r="D26" s="542"/>
      <c r="E26" s="542"/>
      <c r="F26" s="542"/>
      <c r="G26" s="542"/>
      <c r="H26" s="542"/>
      <c r="I26" s="542"/>
      <c r="J26" s="543"/>
      <c r="K26" s="543"/>
      <c r="L26" s="543"/>
      <c r="M26" s="519"/>
      <c r="N26" s="519"/>
      <c r="O26" s="519"/>
      <c r="P26" s="519"/>
      <c r="Q26" s="519"/>
      <c r="R26" s="519"/>
      <c r="S26" s="542"/>
      <c r="T26" s="841">
        <f>W26+Z26</f>
        <v>0</v>
      </c>
      <c r="U26" s="842"/>
      <c r="V26" s="544" t="s">
        <v>372</v>
      </c>
      <c r="W26" s="843"/>
      <c r="X26" s="844"/>
      <c r="Y26" s="545" t="s">
        <v>372</v>
      </c>
      <c r="Z26" s="843"/>
      <c r="AA26" s="844"/>
      <c r="AB26" s="546" t="s">
        <v>372</v>
      </c>
      <c r="AC26" s="542"/>
      <c r="AD26" s="542"/>
      <c r="AE26" s="542"/>
      <c r="AF26" s="493" t="str">
        <f>IF(ISNA(AG26),"",AG26)</f>
        <v/>
      </c>
      <c r="AG26" t="e" cm="1">
        <f t="array" ref="AG26">INDEX(AH26:AK26, MATCH(TRUE, AH26:AK26&lt;&gt;"", 0))</f>
        <v>#N/A</v>
      </c>
      <c r="AH26" t="str">
        <f>IF(AND(A25=3,W26="",Z26=""),AH25,"")</f>
        <v/>
      </c>
      <c r="AI26" t="str">
        <f>IF(AND(OR(A25=1,A25=3),W26=""),AI25,"")</f>
        <v/>
      </c>
      <c r="AJ26" t="str">
        <f>IF(AND(OR(A25=2,A25=3),Z26=""),AJ25,"")</f>
        <v/>
      </c>
      <c r="AK26" t="str">
        <f>IF(AD32&lt;&gt;SUM(W26,Z26),AK25,"")</f>
        <v/>
      </c>
    </row>
    <row r="27" spans="1:54" ht="6" customHeight="1">
      <c r="A27" s="540"/>
      <c r="B27" s="541"/>
      <c r="C27" s="542"/>
      <c r="D27" s="542"/>
      <c r="E27" s="542"/>
      <c r="F27" s="542"/>
      <c r="G27" s="542"/>
      <c r="H27" s="542"/>
      <c r="I27" s="542"/>
      <c r="J27" s="542"/>
      <c r="K27" s="542"/>
      <c r="L27" s="542"/>
      <c r="M27" s="542"/>
      <c r="N27" s="542"/>
      <c r="O27" s="542"/>
      <c r="P27" s="542"/>
      <c r="Q27" s="542"/>
      <c r="R27" s="542"/>
      <c r="S27" s="542"/>
      <c r="T27" s="542"/>
      <c r="U27" s="542"/>
      <c r="V27" s="542"/>
      <c r="W27" s="542"/>
      <c r="X27" s="542"/>
      <c r="Y27" s="542"/>
      <c r="Z27" s="542"/>
      <c r="AA27" s="542"/>
      <c r="AB27" s="542"/>
      <c r="AC27" s="542"/>
      <c r="AD27" s="542"/>
      <c r="AE27" s="542"/>
    </row>
    <row r="28" spans="1:54" ht="9" customHeight="1">
      <c r="A28" s="540"/>
      <c r="B28" s="541"/>
      <c r="C28" s="542"/>
      <c r="D28" s="542"/>
      <c r="E28" s="542"/>
      <c r="F28" s="542"/>
      <c r="G28" s="542"/>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row>
    <row r="29" spans="1:54" ht="14.25" thickBot="1">
      <c r="A29" s="547" t="s">
        <v>1874</v>
      </c>
      <c r="B29" s="548"/>
      <c r="C29" s="548"/>
      <c r="D29" s="548"/>
      <c r="E29" s="548"/>
      <c r="F29" s="548"/>
      <c r="G29" s="548"/>
      <c r="H29" s="548"/>
      <c r="I29" s="548"/>
      <c r="J29" s="549"/>
      <c r="K29" s="549"/>
      <c r="L29" s="549"/>
      <c r="M29" s="549"/>
      <c r="N29" s="549"/>
      <c r="O29" s="549"/>
      <c r="P29" s="549"/>
      <c r="Q29" s="549"/>
      <c r="R29" s="549"/>
      <c r="S29" s="549"/>
      <c r="T29" s="549"/>
      <c r="U29" s="549"/>
      <c r="V29" s="549"/>
      <c r="W29" s="549"/>
      <c r="X29" s="549"/>
      <c r="Y29" s="845" t="s">
        <v>7</v>
      </c>
      <c r="Z29" s="845"/>
      <c r="AA29" s="845"/>
      <c r="AB29" s="845"/>
      <c r="AC29" s="550"/>
      <c r="AD29" s="550"/>
      <c r="AE29" s="550"/>
    </row>
    <row r="30" spans="1:54" ht="12">
      <c r="A30" s="846" t="s">
        <v>1875</v>
      </c>
      <c r="B30" s="847"/>
      <c r="C30" s="847"/>
      <c r="D30" s="847"/>
      <c r="E30" s="847"/>
      <c r="F30" s="847"/>
      <c r="G30" s="847"/>
      <c r="H30" s="847"/>
      <c r="I30" s="847"/>
      <c r="J30" s="848"/>
      <c r="K30" s="849" t="s">
        <v>1876</v>
      </c>
      <c r="L30" s="850"/>
      <c r="M30" s="850"/>
      <c r="N30" s="850"/>
      <c r="O30" s="850"/>
      <c r="P30" s="850"/>
      <c r="Q30" s="850"/>
      <c r="R30" s="851"/>
      <c r="S30" s="849" t="s">
        <v>1877</v>
      </c>
      <c r="T30" s="850"/>
      <c r="U30" s="850"/>
      <c r="V30" s="850"/>
      <c r="W30" s="850"/>
      <c r="X30" s="850"/>
      <c r="Y30" s="850"/>
      <c r="Z30" s="850"/>
      <c r="AA30" s="850"/>
      <c r="AB30" s="851"/>
      <c r="AC30" s="551"/>
      <c r="AD30" s="821" t="s">
        <v>1878</v>
      </c>
      <c r="AE30" s="822"/>
    </row>
    <row r="31" spans="1:54" ht="12">
      <c r="A31" s="552"/>
      <c r="B31" s="810" t="s">
        <v>1879</v>
      </c>
      <c r="C31" s="811"/>
      <c r="D31" s="811"/>
      <c r="E31" s="811"/>
      <c r="F31" s="811"/>
      <c r="G31" s="811"/>
      <c r="H31" s="811"/>
      <c r="I31" s="811"/>
      <c r="J31" s="815"/>
      <c r="K31" s="825" t="s">
        <v>1880</v>
      </c>
      <c r="L31" s="826"/>
      <c r="M31" s="827" t="s">
        <v>1881</v>
      </c>
      <c r="N31" s="827"/>
      <c r="O31" s="828" t="s">
        <v>1882</v>
      </c>
      <c r="P31" s="829"/>
      <c r="Q31" s="830" t="s">
        <v>1883</v>
      </c>
      <c r="R31" s="831"/>
      <c r="S31" s="833" t="s">
        <v>1884</v>
      </c>
      <c r="T31" s="834"/>
      <c r="U31" s="835" t="s">
        <v>1885</v>
      </c>
      <c r="V31" s="836"/>
      <c r="W31" s="837" t="s">
        <v>1886</v>
      </c>
      <c r="X31" s="838"/>
      <c r="Y31" s="839" t="s">
        <v>1887</v>
      </c>
      <c r="Z31" s="840"/>
      <c r="AA31" s="808" t="s">
        <v>9</v>
      </c>
      <c r="AB31" s="809"/>
      <c r="AC31" s="551"/>
      <c r="AD31" s="823"/>
      <c r="AE31" s="824"/>
      <c r="AH31" s="527">
        <v>8</v>
      </c>
      <c r="AI31" s="528">
        <v>9</v>
      </c>
      <c r="AJ31" s="529">
        <v>10</v>
      </c>
      <c r="AK31" s="527">
        <v>11</v>
      </c>
      <c r="AL31" s="528">
        <v>12</v>
      </c>
      <c r="AM31" s="528">
        <v>13</v>
      </c>
      <c r="AN31" s="529">
        <v>14</v>
      </c>
      <c r="AO31" s="527">
        <v>19</v>
      </c>
      <c r="AP31" s="528">
        <v>20</v>
      </c>
      <c r="AQ31" s="528">
        <v>21</v>
      </c>
      <c r="AR31" s="529">
        <v>22</v>
      </c>
      <c r="AS31" s="528">
        <v>15</v>
      </c>
      <c r="AT31" s="528">
        <v>16</v>
      </c>
      <c r="AU31" s="528">
        <v>17</v>
      </c>
      <c r="AV31" s="528">
        <v>18</v>
      </c>
      <c r="AW31" s="527">
        <v>23</v>
      </c>
      <c r="AX31" s="528">
        <v>24</v>
      </c>
      <c r="AY31" s="528">
        <v>25</v>
      </c>
      <c r="AZ31" s="529">
        <v>26</v>
      </c>
      <c r="BA31" s="527">
        <v>27</v>
      </c>
      <c r="BB31" s="529">
        <v>28</v>
      </c>
    </row>
    <row r="32" spans="1:54" ht="28.5" customHeight="1" thickBot="1">
      <c r="A32" s="553"/>
      <c r="B32" s="810" t="s">
        <v>1888</v>
      </c>
      <c r="C32" s="811"/>
      <c r="D32" s="811"/>
      <c r="E32" s="812"/>
      <c r="F32" s="813" t="s">
        <v>1889</v>
      </c>
      <c r="G32" s="814"/>
      <c r="H32" s="811" t="s">
        <v>1890</v>
      </c>
      <c r="I32" s="811"/>
      <c r="J32" s="815"/>
      <c r="K32" s="825"/>
      <c r="L32" s="826"/>
      <c r="M32" s="827"/>
      <c r="N32" s="827"/>
      <c r="O32" s="829"/>
      <c r="P32" s="829"/>
      <c r="Q32" s="832"/>
      <c r="R32" s="831"/>
      <c r="S32" s="833"/>
      <c r="T32" s="834"/>
      <c r="U32" s="835"/>
      <c r="V32" s="836"/>
      <c r="W32" s="838"/>
      <c r="X32" s="838"/>
      <c r="Y32" s="840"/>
      <c r="Z32" s="840"/>
      <c r="AA32" s="808"/>
      <c r="AB32" s="809"/>
      <c r="AC32" s="551"/>
      <c r="AD32" s="816">
        <f>AA34+AA36+AA38+AA40</f>
        <v>0</v>
      </c>
      <c r="AE32" s="817"/>
      <c r="AH32" s="537" t="s">
        <v>1891</v>
      </c>
      <c r="AI32" s="538" t="s">
        <v>1892</v>
      </c>
      <c r="AJ32" s="539" t="s">
        <v>1893</v>
      </c>
      <c r="AK32" s="537" t="s">
        <v>1894</v>
      </c>
      <c r="AL32" s="538" t="s">
        <v>1895</v>
      </c>
      <c r="AM32" s="538" t="s">
        <v>1896</v>
      </c>
      <c r="AN32" s="539" t="s">
        <v>1897</v>
      </c>
      <c r="AO32" s="537" t="s">
        <v>1898</v>
      </c>
      <c r="AP32" s="538" t="s">
        <v>1899</v>
      </c>
      <c r="AQ32" s="538" t="s">
        <v>1900</v>
      </c>
      <c r="AR32" s="539" t="s">
        <v>1901</v>
      </c>
      <c r="AS32" s="538" t="s">
        <v>1902</v>
      </c>
      <c r="AT32" s="538" t="s">
        <v>1903</v>
      </c>
      <c r="AU32" s="538" t="s">
        <v>1904</v>
      </c>
      <c r="AV32" s="538" t="s">
        <v>1905</v>
      </c>
      <c r="AW32" s="537" t="s">
        <v>1906</v>
      </c>
      <c r="AX32" s="538" t="s">
        <v>1907</v>
      </c>
      <c r="AY32" s="538" t="s">
        <v>1908</v>
      </c>
      <c r="AZ32" s="539" t="s">
        <v>1909</v>
      </c>
      <c r="BA32" s="537" t="s">
        <v>1910</v>
      </c>
      <c r="BB32" s="539" t="s">
        <v>1911</v>
      </c>
    </row>
    <row r="33" spans="1:54" ht="28.5" customHeight="1" thickBot="1">
      <c r="A33" s="736">
        <v>1</v>
      </c>
      <c r="B33" s="737" t="s">
        <v>1912</v>
      </c>
      <c r="C33" s="737"/>
      <c r="D33" s="737"/>
      <c r="E33" s="737"/>
      <c r="F33" s="738" t="s">
        <v>1912</v>
      </c>
      <c r="G33" s="739"/>
      <c r="H33" s="738" t="s">
        <v>1912</v>
      </c>
      <c r="I33" s="742"/>
      <c r="J33" s="554"/>
      <c r="K33" s="818"/>
      <c r="L33" s="819"/>
      <c r="M33" s="797"/>
      <c r="N33" s="798"/>
      <c r="O33" s="797"/>
      <c r="P33" s="798"/>
      <c r="Q33" s="799"/>
      <c r="R33" s="800"/>
      <c r="S33" s="802" t="s">
        <v>1913</v>
      </c>
      <c r="T33" s="803"/>
      <c r="U33" s="804"/>
      <c r="V33" s="805"/>
      <c r="W33" s="786"/>
      <c r="X33" s="786"/>
      <c r="Y33" s="786"/>
      <c r="Z33" s="786"/>
      <c r="AA33" s="787">
        <f>SUM(U33,W33,Y33)</f>
        <v>0</v>
      </c>
      <c r="AB33" s="788"/>
      <c r="AC33" s="551"/>
      <c r="AD33" s="551"/>
      <c r="AE33" s="551"/>
      <c r="AF33" s="493" t="str">
        <f t="shared" ref="AF33:AF40" si="0">IF(ISNA(AG33),"",AG33)</f>
        <v>←関係分野を選択してください</v>
      </c>
      <c r="AG33" t="str" cm="1">
        <f t="array" ref="AG33">INDEX(AH33:BB33, MATCH(TRUE, AH33:BB33&lt;&gt;"", 0))</f>
        <v>←関係分野を選択してください</v>
      </c>
      <c r="AH33" t="str">
        <f>IF(OR(B33="選択↓",B33=""),AH$32,"")</f>
        <v>←関係分野を選択してください</v>
      </c>
      <c r="AI33" s="555" t="str">
        <f>IF(AND(B33&lt;&gt;"選択↓",B33&lt;&gt;"",OR(F33="選択↓",F33="")),AI$32,"")</f>
        <v/>
      </c>
      <c r="AJ33" s="555" t="str">
        <f>IF(AND(B33&lt;&gt;"選択↓",B33&lt;&gt;"",OR(H33="選択↓",H33="")),AJ$32,"")</f>
        <v/>
      </c>
      <c r="AK33" s="555" t="str">
        <f>IF(AND(B33&lt;&gt;"選択↓",B33&lt;&gt;"",K33=""),AK$32,"")</f>
        <v/>
      </c>
      <c r="AL33" s="555" t="str">
        <f>IF(AND(B33&lt;&gt;"選択↓",B33&lt;&gt;"",M33=""),AL$32,"")</f>
        <v/>
      </c>
      <c r="AM33" s="555" t="str">
        <f>IF(AND(B33&lt;&gt;"選択↓",B33&lt;&gt;"",O33=""),AM$32,"")</f>
        <v/>
      </c>
      <c r="AN33" s="555" t="str">
        <f>IF(AND(B33&lt;&gt;"選択↓",B33&lt;&gt;"",Q33=""),AN$32,"")</f>
        <v/>
      </c>
      <c r="AO33" t="str">
        <f>IF(AND(H33=3,U33="",W33="",Y33=""),AO$32,"")</f>
        <v/>
      </c>
      <c r="AP33" s="555" t="str">
        <f>IF(AND(B33&lt;&gt;"選択↓",B33&lt;&gt;"",U33=""),AP$32,"")</f>
        <v/>
      </c>
      <c r="AQ33" s="555" t="str">
        <f>IF(AND(B33&lt;&gt;"選択↓",B33&lt;&gt;"",H33&gt;=2,W33=""),AQ$32,"")</f>
        <v/>
      </c>
      <c r="AR33" s="555" t="str">
        <f>IF(AND(B33&lt;&gt;"選択↓",B33&lt;&gt;"",H33&gt;=3,Y33=""),AR$32,"")</f>
        <v/>
      </c>
      <c r="AS33" t="str">
        <f>IF(K33&lt;M33,AS$32,"")</f>
        <v/>
      </c>
      <c r="AT33" t="str">
        <f>IF(M33&lt;O33,AT$32,"")</f>
        <v/>
      </c>
      <c r="AU33" t="str">
        <f>IF(O33&lt;Q33,AU$32,"")</f>
        <v/>
      </c>
      <c r="AV33" t="str">
        <f>IF(Q33&gt;U34,AV$32,"")</f>
        <v/>
      </c>
      <c r="BA33" s="555" t="str">
        <f>IF(AND(B33&lt;&gt;"選択↓",B33&lt;&gt;"",SUM(U33:Z33)&lt;&gt;AA33),BA$32,"")</f>
        <v/>
      </c>
      <c r="BB33" t="str">
        <f>IF(SUM(U34:Z34)&lt;&gt;AA34,BB$32,"")</f>
        <v/>
      </c>
    </row>
    <row r="34" spans="1:54" ht="28.5" customHeight="1" thickBot="1">
      <c r="A34" s="736"/>
      <c r="B34" s="737"/>
      <c r="C34" s="737"/>
      <c r="D34" s="737"/>
      <c r="E34" s="737"/>
      <c r="F34" s="740"/>
      <c r="G34" s="741"/>
      <c r="H34" s="740"/>
      <c r="I34" s="743"/>
      <c r="J34" s="556" t="s">
        <v>1914</v>
      </c>
      <c r="K34" s="820"/>
      <c r="L34" s="819"/>
      <c r="M34" s="798"/>
      <c r="N34" s="798"/>
      <c r="O34" s="798"/>
      <c r="P34" s="798"/>
      <c r="Q34" s="801"/>
      <c r="R34" s="800"/>
      <c r="S34" s="789" t="s">
        <v>1915</v>
      </c>
      <c r="T34" s="790"/>
      <c r="U34" s="791"/>
      <c r="V34" s="792"/>
      <c r="W34" s="793"/>
      <c r="X34" s="793"/>
      <c r="Y34" s="793"/>
      <c r="Z34" s="794"/>
      <c r="AA34" s="795">
        <f t="shared" ref="AA34:AA40" si="1">SUM(U34,W34,Y34)</f>
        <v>0</v>
      </c>
      <c r="AB34" s="796"/>
      <c r="AC34" s="551"/>
      <c r="AD34" s="551"/>
      <c r="AE34" s="551"/>
      <c r="AF34" s="493" t="str">
        <f t="shared" si="0"/>
        <v/>
      </c>
      <c r="AG34" t="e" cm="1">
        <f t="array" ref="AG34">INDEX(AH34:BB34, MATCH(TRUE, AH34:BB34&lt;&gt;"", 0))</f>
        <v>#N/A</v>
      </c>
      <c r="AW34" s="555" t="str">
        <f>IF(AND(H33=3,U34="",W34="",Y34=""),AW$32,"")</f>
        <v/>
      </c>
      <c r="AX34" s="555" t="str">
        <f>IF(AND(B33&lt;&gt;"選択↓",B33&lt;&gt;"",U34=""),AX$32,"")</f>
        <v/>
      </c>
      <c r="AY34" s="555" t="str">
        <f>IF(AND(B33&lt;&gt;"選択↓",B33&lt;&gt;"",H33&gt;=2,W34=""),AY$32,"")</f>
        <v/>
      </c>
      <c r="AZ34" s="555" t="str">
        <f>IF(AND(B33&lt;&gt;"選択↓",B33&lt;&gt;"",H33&gt;=3,Y34=""),AZ$32,"")</f>
        <v/>
      </c>
    </row>
    <row r="35" spans="1:54" ht="28.5" customHeight="1" thickBot="1">
      <c r="A35" s="736">
        <v>2</v>
      </c>
      <c r="B35" s="737" t="s">
        <v>1912</v>
      </c>
      <c r="C35" s="737"/>
      <c r="D35" s="737"/>
      <c r="E35" s="737"/>
      <c r="F35" s="738" t="s">
        <v>1912</v>
      </c>
      <c r="G35" s="739"/>
      <c r="H35" s="738" t="s">
        <v>1912</v>
      </c>
      <c r="I35" s="742"/>
      <c r="J35" s="554"/>
      <c r="K35" s="744"/>
      <c r="L35" s="745"/>
      <c r="M35" s="748"/>
      <c r="N35" s="745"/>
      <c r="O35" s="760"/>
      <c r="P35" s="761"/>
      <c r="Q35" s="760"/>
      <c r="R35" s="764"/>
      <c r="S35" s="766" t="s">
        <v>1913</v>
      </c>
      <c r="T35" s="767"/>
      <c r="U35" s="768"/>
      <c r="V35" s="735"/>
      <c r="W35" s="734"/>
      <c r="X35" s="735"/>
      <c r="Y35" s="734"/>
      <c r="Z35" s="735"/>
      <c r="AA35" s="806">
        <f t="shared" si="1"/>
        <v>0</v>
      </c>
      <c r="AB35" s="807"/>
      <c r="AC35" s="551"/>
      <c r="AD35" s="551"/>
      <c r="AE35" s="551"/>
      <c r="AF35" s="493" t="str">
        <f t="shared" si="0"/>
        <v/>
      </c>
      <c r="AG35" t="e" cm="1">
        <f t="array" ref="AG35">INDEX(AH35:BB35, MATCH(TRUE, AH35:BB35&lt;&gt;"", 0))</f>
        <v>#N/A</v>
      </c>
      <c r="AH35" s="555" t="str">
        <f>IF(AND(B33&lt;&gt;"選択↓",B33&lt;&gt;"",OR(B35="選択↓",B35="")),AH$32,"")</f>
        <v/>
      </c>
      <c r="AI35" s="555" t="str">
        <f>IF(AND(B35&lt;&gt;"選択↓",B35&lt;&gt;"",OR(F35="選択↓",F35="")),AI$32,"")</f>
        <v/>
      </c>
      <c r="AJ35" s="555" t="str">
        <f>IF(AND(B35&lt;&gt;"選択↓",B35&lt;&gt;"",OR(H35="選択↓",H35="")),AJ$32,"")</f>
        <v/>
      </c>
      <c r="AK35" s="555" t="str">
        <f>IF(AND(B35&lt;&gt;"選択↓",B35&lt;&gt;"",K35=""),AK$32,"")</f>
        <v/>
      </c>
      <c r="AL35" s="555" t="str">
        <f>IF(AND(B35&lt;&gt;"選択↓",B35&lt;&gt;"",M35=""),AL$32,"")</f>
        <v/>
      </c>
      <c r="AM35" s="555" t="str">
        <f>IF(AND(B35&lt;&gt;"選択↓",B35&lt;&gt;"",O35=""),AM$32,"")</f>
        <v/>
      </c>
      <c r="AN35" s="555" t="str">
        <f>IF(AND(B35&lt;&gt;"選択↓",B35&lt;&gt;"",Q35=""),AN$32,"")</f>
        <v/>
      </c>
      <c r="AO35" t="str">
        <f>IF(AND(H35=3,U35="",W35="",Y35=""),AO$32,"")</f>
        <v/>
      </c>
      <c r="AP35" s="555" t="str">
        <f>IF(AND(B35&lt;&gt;"選択↓",B35&lt;&gt;"",U35=""),AP$32,"")</f>
        <v/>
      </c>
      <c r="AQ35" s="555" t="str">
        <f>IF(AND(B35&lt;&gt;"選択↓",B35&lt;&gt;"",H35&gt;=2,W35=""),AQ$32,"")</f>
        <v/>
      </c>
      <c r="AR35" s="555" t="str">
        <f>IF(AND(B35&lt;&gt;"選択↓",B35&lt;&gt;"",H35&gt;=3,Y35=""),AR$32,"")</f>
        <v/>
      </c>
      <c r="AS35" t="str">
        <f>IF(K35&lt;M35,AS$32,"")</f>
        <v/>
      </c>
      <c r="AT35" t="str">
        <f>IF(M35&lt;O35,AT$32,"")</f>
        <v/>
      </c>
      <c r="AU35" t="str">
        <f>IF(O35&lt;Q35,AU$32,"")</f>
        <v/>
      </c>
      <c r="AV35" t="str">
        <f>IF(Q35&gt;U36,AV$32,"")</f>
        <v/>
      </c>
      <c r="BA35" s="555" t="str">
        <f>IF(AND(B35&lt;&gt;"選択↓",B35&lt;&gt;"",SUM(U35:Z35)&lt;&gt;AA35),BA$32,"")</f>
        <v/>
      </c>
      <c r="BB35" t="str">
        <f>IF(SUM(U36:Z36)&lt;&gt;AA36,BB$32,"")</f>
        <v/>
      </c>
    </row>
    <row r="36" spans="1:54" ht="28.5" customHeight="1" thickBot="1">
      <c r="A36" s="736"/>
      <c r="B36" s="737"/>
      <c r="C36" s="737"/>
      <c r="D36" s="737"/>
      <c r="E36" s="737"/>
      <c r="F36" s="740"/>
      <c r="G36" s="741"/>
      <c r="H36" s="740"/>
      <c r="I36" s="743"/>
      <c r="J36" s="556" t="s">
        <v>1914</v>
      </c>
      <c r="K36" s="746"/>
      <c r="L36" s="747"/>
      <c r="M36" s="749"/>
      <c r="N36" s="747"/>
      <c r="O36" s="769"/>
      <c r="P36" s="770"/>
      <c r="Q36" s="769"/>
      <c r="R36" s="771"/>
      <c r="S36" s="780" t="s">
        <v>1915</v>
      </c>
      <c r="T36" s="781"/>
      <c r="U36" s="782"/>
      <c r="V36" s="783"/>
      <c r="W36" s="784"/>
      <c r="X36" s="783"/>
      <c r="Y36" s="784"/>
      <c r="Z36" s="785"/>
      <c r="AA36" s="758">
        <f t="shared" si="1"/>
        <v>0</v>
      </c>
      <c r="AB36" s="759"/>
      <c r="AC36" s="551"/>
      <c r="AD36" s="551"/>
      <c r="AE36" s="551"/>
      <c r="AF36" s="493" t="str">
        <f t="shared" si="0"/>
        <v/>
      </c>
      <c r="AG36" t="e" cm="1">
        <f t="array" ref="AG36">INDEX(AH36:BB36, MATCH(TRUE, AH36:BB36&lt;&gt;"", 0))</f>
        <v>#N/A</v>
      </c>
      <c r="AW36" s="555" t="str">
        <f>IF(AND(H35=3,U36="",W36="",Y36=""),AW$32,"")</f>
        <v/>
      </c>
      <c r="AX36" s="555" t="str">
        <f>IF(AND(B35&lt;&gt;"選択↓",B35&lt;&gt;"",U36=""),AX$32,"")</f>
        <v/>
      </c>
      <c r="AY36" s="555" t="str">
        <f>IF(AND(B35&lt;&gt;"選択↓",B35&lt;&gt;"",H35&gt;=2,W36=""),AY$32,"")</f>
        <v/>
      </c>
      <c r="AZ36" s="555" t="str">
        <f>IF(AND(B35&lt;&gt;"選択↓",B35&lt;&gt;"",H35&gt;=3,Y36=""),AZ$32,"")</f>
        <v/>
      </c>
    </row>
    <row r="37" spans="1:54" ht="28.5" customHeight="1" thickBot="1">
      <c r="A37" s="736">
        <v>3</v>
      </c>
      <c r="B37" s="737" t="s">
        <v>1912</v>
      </c>
      <c r="C37" s="737"/>
      <c r="D37" s="737"/>
      <c r="E37" s="737"/>
      <c r="F37" s="738" t="s">
        <v>1912</v>
      </c>
      <c r="G37" s="739"/>
      <c r="H37" s="738" t="s">
        <v>1912</v>
      </c>
      <c r="I37" s="742"/>
      <c r="J37" s="554"/>
      <c r="K37" s="744"/>
      <c r="L37" s="745"/>
      <c r="M37" s="748"/>
      <c r="N37" s="745"/>
      <c r="O37" s="760"/>
      <c r="P37" s="761"/>
      <c r="Q37" s="760"/>
      <c r="R37" s="764"/>
      <c r="S37" s="766" t="s">
        <v>1913</v>
      </c>
      <c r="T37" s="767"/>
      <c r="U37" s="768"/>
      <c r="V37" s="735"/>
      <c r="W37" s="734"/>
      <c r="X37" s="735"/>
      <c r="Y37" s="734"/>
      <c r="Z37" s="735"/>
      <c r="AA37" s="750">
        <f t="shared" si="1"/>
        <v>0</v>
      </c>
      <c r="AB37" s="751"/>
      <c r="AC37" s="551"/>
      <c r="AD37" s="551"/>
      <c r="AE37" s="551"/>
      <c r="AF37" s="493" t="str">
        <f t="shared" si="0"/>
        <v/>
      </c>
      <c r="AG37" t="e" cm="1">
        <f t="array" ref="AG37">INDEX(AH37:BB37, MATCH(TRUE, AH37:BB37&lt;&gt;"", 0))</f>
        <v>#N/A</v>
      </c>
      <c r="AH37" s="555" t="str">
        <f>IF(AND(B35&lt;&gt;"選択↓",B35&lt;&gt;"",OR(B37="選択↓",B37="")),AH$32,"")</f>
        <v/>
      </c>
      <c r="AI37" s="555" t="str">
        <f>IF(AND(B37&lt;&gt;"選択↓",B37&lt;&gt;"",OR(F37="選択↓",F37="")),AI$32,"")</f>
        <v/>
      </c>
      <c r="AJ37" s="555" t="str">
        <f>IF(AND(B37&lt;&gt;"選択↓",B37&lt;&gt;"",OR(H37="選択↓",H37="")),AJ$32,"")</f>
        <v/>
      </c>
      <c r="AK37" s="555" t="str">
        <f>IF(AND(B37&lt;&gt;"選択↓",B37&lt;&gt;"",K37=""),AK$32,"")</f>
        <v/>
      </c>
      <c r="AL37" s="555" t="str">
        <f>IF(AND(B37&lt;&gt;"選択↓",B37&lt;&gt;"",M37=""),AL$32,"")</f>
        <v/>
      </c>
      <c r="AM37" s="555" t="str">
        <f>IF(AND(B37&lt;&gt;"選択↓",B37&lt;&gt;"",O37=""),AM$32,"")</f>
        <v/>
      </c>
      <c r="AN37" s="555" t="str">
        <f>IF(AND(B37&lt;&gt;"選択↓",B37&lt;&gt;"",Q37=""),AN$32,"")</f>
        <v/>
      </c>
      <c r="AO37" t="str">
        <f>IF(AND(H37=3,U37="",W37="",Y37=""),AO$32,"")</f>
        <v/>
      </c>
      <c r="AP37" s="555" t="str">
        <f>IF(AND(B37&lt;&gt;"選択↓",B37&lt;&gt;"",U37=""),AP$32,"")</f>
        <v/>
      </c>
      <c r="AQ37" s="555" t="str">
        <f>IF(AND(B37&lt;&gt;"選択↓",B37&lt;&gt;"",H37&gt;=2,W37=""),AQ$32,"")</f>
        <v/>
      </c>
      <c r="AR37" s="555" t="str">
        <f>IF(AND(B37&lt;&gt;"選択↓",B37&lt;&gt;"",H37&gt;=3,Y37=""),AR$32,"")</f>
        <v/>
      </c>
      <c r="AS37" t="str">
        <f>IF(K37&lt;M37,AS$32,"")</f>
        <v/>
      </c>
      <c r="AT37" t="str">
        <f>IF(M37&lt;O37,AT$32,"")</f>
        <v/>
      </c>
      <c r="AU37" t="str">
        <f>IF(O37&lt;Q37,AU$32,"")</f>
        <v/>
      </c>
      <c r="AV37" t="str">
        <f>IF(Q37&gt;U38,AV$32,"")</f>
        <v/>
      </c>
      <c r="AW37" t="str">
        <f>IF(AND(H37=3,U38="",W38="",Y38=""),AW$32,"")</f>
        <v/>
      </c>
      <c r="AX37" t="str">
        <f>IF(AND(B37&lt;&gt;"選択↓",B37&lt;&gt;"",U38=""),AX$32,"")</f>
        <v/>
      </c>
      <c r="AY37" t="str">
        <f>IF(AND(B37&lt;&gt;"選択↓",B37&lt;&gt;"",H37&gt;=2,W38=""),AY$32,"")</f>
        <v/>
      </c>
      <c r="AZ37" t="str">
        <f>IF(AND(B37&lt;&gt;"選択↓",B37&lt;&gt;"",H37&gt;=3,Y38=""),AZ$32,"")</f>
        <v/>
      </c>
      <c r="BA37" s="555" t="str">
        <f>IF(AND(B37&lt;&gt;"選択↓",B37&lt;&gt;"",SUM(U37:Z37)&lt;&gt;AA37),BA$32,"")</f>
        <v/>
      </c>
      <c r="BB37" t="str">
        <f>IF(SUM(U38:Z38)&lt;&gt;AA38,BB$32,"")</f>
        <v/>
      </c>
    </row>
    <row r="38" spans="1:54" ht="28.5" customHeight="1" thickBot="1">
      <c r="A38" s="736"/>
      <c r="B38" s="737"/>
      <c r="C38" s="737"/>
      <c r="D38" s="737"/>
      <c r="E38" s="737"/>
      <c r="F38" s="740"/>
      <c r="G38" s="741"/>
      <c r="H38" s="740"/>
      <c r="I38" s="743"/>
      <c r="J38" s="557" t="s">
        <v>1914</v>
      </c>
      <c r="K38" s="746"/>
      <c r="L38" s="747"/>
      <c r="M38" s="749"/>
      <c r="N38" s="747"/>
      <c r="O38" s="769"/>
      <c r="P38" s="770"/>
      <c r="Q38" s="769"/>
      <c r="R38" s="771"/>
      <c r="S38" s="780" t="s">
        <v>1915</v>
      </c>
      <c r="T38" s="781"/>
      <c r="U38" s="782"/>
      <c r="V38" s="783"/>
      <c r="W38" s="784"/>
      <c r="X38" s="783"/>
      <c r="Y38" s="784"/>
      <c r="Z38" s="785"/>
      <c r="AA38" s="758">
        <f t="shared" si="1"/>
        <v>0</v>
      </c>
      <c r="AB38" s="759"/>
      <c r="AC38" s="551"/>
      <c r="AD38" s="551"/>
      <c r="AE38" s="551"/>
      <c r="AF38" s="493" t="str">
        <f t="shared" si="0"/>
        <v/>
      </c>
      <c r="AG38" t="e" cm="1">
        <f t="array" ref="AG38">INDEX(AH38:BB38, MATCH(TRUE, AH38:BB38&lt;&gt;"", 0))</f>
        <v>#N/A</v>
      </c>
      <c r="AW38" s="555" t="str">
        <f>IF(AND(H37=3,U38="",W38="",Y38=""),AW$32,"")</f>
        <v/>
      </c>
      <c r="AX38" s="555" t="str">
        <f>IF(AND(B37&lt;&gt;"選択↓",B37&lt;&gt;"",U38=""),AX$32,"")</f>
        <v/>
      </c>
      <c r="AY38" s="555" t="str">
        <f>IF(AND(B37&lt;&gt;"選択↓",B37&lt;&gt;"",H37&gt;=2,W38=""),AY$32,"")</f>
        <v/>
      </c>
      <c r="AZ38" s="555" t="str">
        <f>IF(AND(B37&lt;&gt;"選択↓",B37&lt;&gt;"",H37&gt;=3,Y38=""),AZ$32,"")</f>
        <v/>
      </c>
    </row>
    <row r="39" spans="1:54" ht="28.5" customHeight="1" thickBot="1">
      <c r="A39" s="772">
        <v>4</v>
      </c>
      <c r="B39" s="737" t="s">
        <v>1912</v>
      </c>
      <c r="C39" s="737"/>
      <c r="D39" s="737"/>
      <c r="E39" s="737"/>
      <c r="F39" s="738" t="s">
        <v>1912</v>
      </c>
      <c r="G39" s="739"/>
      <c r="H39" s="738" t="s">
        <v>1912</v>
      </c>
      <c r="I39" s="742"/>
      <c r="J39" s="558"/>
      <c r="K39" s="744"/>
      <c r="L39" s="745"/>
      <c r="M39" s="748"/>
      <c r="N39" s="745"/>
      <c r="O39" s="760"/>
      <c r="P39" s="761"/>
      <c r="Q39" s="760"/>
      <c r="R39" s="764"/>
      <c r="S39" s="766" t="s">
        <v>1913</v>
      </c>
      <c r="T39" s="767"/>
      <c r="U39" s="768"/>
      <c r="V39" s="735"/>
      <c r="W39" s="734"/>
      <c r="X39" s="735"/>
      <c r="Y39" s="734"/>
      <c r="Z39" s="735"/>
      <c r="AA39" s="750">
        <f t="shared" si="1"/>
        <v>0</v>
      </c>
      <c r="AB39" s="751"/>
      <c r="AC39" s="551"/>
      <c r="AD39" s="551"/>
      <c r="AE39" s="551"/>
      <c r="AF39" s="493" t="str">
        <f t="shared" si="0"/>
        <v/>
      </c>
      <c r="AG39" t="e" cm="1">
        <f t="array" ref="AG39">INDEX(AH39:BB39, MATCH(TRUE, AH39:BB39&lt;&gt;"", 0))</f>
        <v>#N/A</v>
      </c>
      <c r="AH39" s="555" t="str">
        <f>IF(AND(B37&lt;&gt;"選択↓",B37&lt;&gt;"",OR(B39="選択↓",B39="")),AH$32,"")</f>
        <v/>
      </c>
      <c r="AI39" s="555" t="str">
        <f>IF(AND(B39&lt;&gt;"選択↓",B39&lt;&gt;"",OR(F39="選択↓",F39="")),AI$32,"")</f>
        <v/>
      </c>
      <c r="AJ39" s="555" t="str">
        <f>IF(AND(B39&lt;&gt;"選択↓",B39&lt;&gt;"",OR(H39="選択↓",H39="")),AJ$32,"")</f>
        <v/>
      </c>
      <c r="AK39" s="555" t="str">
        <f>IF(AND(B39&lt;&gt;"選択↓",B39&lt;&gt;"",K39=""),AK$32,"")</f>
        <v/>
      </c>
      <c r="AL39" s="555" t="str">
        <f>IF(AND(B39&lt;&gt;"選択↓",B39&lt;&gt;"",M39=""),AL$32,"")</f>
        <v/>
      </c>
      <c r="AM39" s="555" t="str">
        <f>IF(AND(B39&lt;&gt;"選択↓",B39&lt;&gt;"",O39=""),AM$32,"")</f>
        <v/>
      </c>
      <c r="AN39" s="555" t="str">
        <f>IF(AND(B39&lt;&gt;"選択↓",B39&lt;&gt;"",Q39=""),AN$32,"")</f>
        <v/>
      </c>
      <c r="AO39" t="str">
        <f>IF(AND(H39=3,U39="",W39="",Y39=""),AO$32,"")</f>
        <v/>
      </c>
      <c r="AP39" s="555" t="str">
        <f>IF(AND(B39&lt;&gt;"選択↓",B39&lt;&gt;"",U39=""),AP$32,"")</f>
        <v/>
      </c>
      <c r="AQ39" s="555" t="str">
        <f>IF(AND(B39&lt;&gt;"選択↓",B39&lt;&gt;"",H39&gt;=2,W39=""),AQ$32,"")</f>
        <v/>
      </c>
      <c r="AR39" s="555" t="str">
        <f>IF(AND(B39&lt;&gt;"選択↓",B39&lt;&gt;"",H39&gt;=3,Y39=""),AR$32,"")</f>
        <v/>
      </c>
      <c r="AS39" t="str">
        <f>IF(K39&lt;M39,AS$32,"")</f>
        <v/>
      </c>
      <c r="AT39" t="str">
        <f>IF(M39&lt;O39,AT$32,"")</f>
        <v/>
      </c>
      <c r="AU39" t="str">
        <f>IF(O39&lt;Q39,AU$32,"")</f>
        <v/>
      </c>
      <c r="AV39" t="str">
        <f>IF(Q39&gt;U40,AV$32,"")</f>
        <v/>
      </c>
      <c r="AW39" t="str">
        <f>IF(AND(H39=3,U40="",W40="",Y40=""),AW$32,"")</f>
        <v/>
      </c>
      <c r="AX39" t="str">
        <f>IF(AND(B39&lt;&gt;"選択↓",B39&lt;&gt;"",U40=""),AX$32,"")</f>
        <v/>
      </c>
      <c r="AY39" t="str">
        <f>IF(AND(B39&lt;&gt;"選択↓",B39&lt;&gt;"",H39&gt;=2,W40=""),AY$32,"")</f>
        <v/>
      </c>
      <c r="AZ39" t="str">
        <f>IF(AND(B39&lt;&gt;"選択↓",B39&lt;&gt;"",H39&gt;=3,Y40=""),AZ$32,"")</f>
        <v/>
      </c>
      <c r="BA39" s="555" t="str">
        <f>IF(AND(B39&lt;&gt;"選択↓",B39&lt;&gt;"",SUM(U39:Z39)&lt;&gt;AA39),BA$32,"")</f>
        <v/>
      </c>
      <c r="BB39" t="str">
        <f>IF(SUM(U40:Z40)&lt;&gt;AA40,BB$32,"")</f>
        <v/>
      </c>
    </row>
    <row r="40" spans="1:54" ht="28.5" customHeight="1" thickBot="1">
      <c r="A40" s="773"/>
      <c r="B40" s="737"/>
      <c r="C40" s="737"/>
      <c r="D40" s="737"/>
      <c r="E40" s="737"/>
      <c r="F40" s="774"/>
      <c r="G40" s="775"/>
      <c r="H40" s="774"/>
      <c r="I40" s="776"/>
      <c r="J40" s="559" t="s">
        <v>1914</v>
      </c>
      <c r="K40" s="777"/>
      <c r="L40" s="778"/>
      <c r="M40" s="779"/>
      <c r="N40" s="778"/>
      <c r="O40" s="762"/>
      <c r="P40" s="763"/>
      <c r="Q40" s="762"/>
      <c r="R40" s="765"/>
      <c r="S40" s="752" t="s">
        <v>1915</v>
      </c>
      <c r="T40" s="753"/>
      <c r="U40" s="754"/>
      <c r="V40" s="755"/>
      <c r="W40" s="756"/>
      <c r="X40" s="755"/>
      <c r="Y40" s="756"/>
      <c r="Z40" s="757"/>
      <c r="AA40" s="758">
        <f t="shared" si="1"/>
        <v>0</v>
      </c>
      <c r="AB40" s="759"/>
      <c r="AC40" s="551"/>
      <c r="AD40" s="551"/>
      <c r="AE40" s="551"/>
      <c r="AF40" s="493" t="str">
        <f t="shared" si="0"/>
        <v/>
      </c>
      <c r="AG40" t="e" cm="1">
        <f t="array" ref="AG40">INDEX(AH40:BB40, MATCH(TRUE, AH40:BB40&lt;&gt;"", 0))</f>
        <v>#N/A</v>
      </c>
      <c r="AW40" s="555" t="str">
        <f>IF(AND(H39=3,U40="",W40="",Y40=""),AW$32,"")</f>
        <v/>
      </c>
      <c r="AX40" s="555" t="str">
        <f>IF(AND(B39&lt;&gt;"選択↓",B39&lt;&gt;"",U40=""),AX$32,"")</f>
        <v/>
      </c>
      <c r="AY40" s="555" t="str">
        <f>IF(AND(B39&lt;&gt;"選択↓",B39&lt;&gt;"",H39&gt;=2,W40=""),AY$32,"")</f>
        <v/>
      </c>
      <c r="AZ40" s="555" t="str">
        <f>IF(AND(B39&lt;&gt;"選択↓",B39&lt;&gt;"",H39&gt;=3,Y40=""),AZ$32,"")</f>
        <v/>
      </c>
    </row>
    <row r="41" spans="1:54" ht="12">
      <c r="A41" s="728" t="s">
        <v>1916</v>
      </c>
      <c r="B41" s="728"/>
      <c r="C41" s="729" t="s">
        <v>1917</v>
      </c>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551"/>
      <c r="AD41" s="551"/>
      <c r="AE41" s="551"/>
    </row>
    <row r="42" spans="1:54" ht="12">
      <c r="A42" s="730" t="s">
        <v>1918</v>
      </c>
      <c r="B42" s="731"/>
      <c r="C42" s="732" t="s">
        <v>1919</v>
      </c>
      <c r="D42" s="732"/>
      <c r="E42" s="732"/>
      <c r="F42" s="732"/>
      <c r="G42" s="732"/>
      <c r="H42" s="732"/>
      <c r="I42" s="732"/>
      <c r="J42" s="732"/>
      <c r="K42" s="732"/>
      <c r="L42" s="732"/>
      <c r="M42" s="732"/>
      <c r="N42" s="732"/>
      <c r="O42" s="732"/>
      <c r="P42" s="732"/>
      <c r="Q42" s="732"/>
      <c r="R42" s="732"/>
      <c r="S42" s="732"/>
      <c r="T42" s="732"/>
      <c r="U42" s="732"/>
      <c r="V42" s="732"/>
      <c r="W42" s="732"/>
      <c r="X42" s="732"/>
      <c r="Y42" s="732"/>
      <c r="Z42" s="732"/>
      <c r="AA42" s="732"/>
      <c r="AB42" s="732"/>
      <c r="AC42" s="551"/>
      <c r="AD42" s="551"/>
      <c r="AE42" s="551"/>
    </row>
    <row r="43" spans="1:54" ht="4.5" customHeight="1">
      <c r="A43" s="560"/>
      <c r="B43" s="561"/>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51"/>
      <c r="AD43" s="551"/>
      <c r="AE43" s="551"/>
    </row>
    <row r="44" spans="1:54" ht="4.5" customHeight="1">
      <c r="A44" s="563"/>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row>
    <row r="45" spans="1:54" ht="12">
      <c r="A45" s="495" t="s">
        <v>1920</v>
      </c>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733"/>
      <c r="Z45" s="733"/>
      <c r="AA45" s="733"/>
      <c r="AB45" s="733"/>
      <c r="AC45" s="733"/>
      <c r="AD45" s="733"/>
      <c r="AE45" s="733"/>
      <c r="AG45">
        <v>33</v>
      </c>
      <c r="AH45">
        <v>1</v>
      </c>
      <c r="AI45">
        <v>2</v>
      </c>
      <c r="AJ45">
        <v>3</v>
      </c>
      <c r="AK45">
        <v>4</v>
      </c>
    </row>
    <row r="46" spans="1:54" ht="15" customHeight="1">
      <c r="A46" s="564">
        <v>1</v>
      </c>
      <c r="B46" s="724"/>
      <c r="C46" s="724"/>
      <c r="D46" s="724"/>
      <c r="E46" s="722" t="s">
        <v>1921</v>
      </c>
      <c r="F46" s="723"/>
      <c r="G46" s="564">
        <v>2</v>
      </c>
      <c r="H46" s="724"/>
      <c r="I46" s="724"/>
      <c r="J46" s="724"/>
      <c r="K46" s="722" t="s">
        <v>1921</v>
      </c>
      <c r="L46" s="723"/>
      <c r="M46" s="564">
        <v>3</v>
      </c>
      <c r="N46" s="724"/>
      <c r="O46" s="724"/>
      <c r="P46" s="724"/>
      <c r="Q46" s="722" t="s">
        <v>1921</v>
      </c>
      <c r="R46" s="723"/>
      <c r="S46" s="564">
        <v>4</v>
      </c>
      <c r="T46" s="724"/>
      <c r="U46" s="724"/>
      <c r="V46" s="724"/>
      <c r="W46" s="722" t="s">
        <v>1921</v>
      </c>
      <c r="X46" s="723"/>
      <c r="Y46" s="733"/>
      <c r="Z46" s="733"/>
      <c r="AA46" s="733"/>
      <c r="AB46" s="733"/>
      <c r="AC46" s="733"/>
      <c r="AD46" s="733"/>
      <c r="AE46" s="733"/>
      <c r="AF46" s="493" t="str">
        <f>IF(SUM(AH46:AK46)&gt;0,AG46,"")</f>
        <v/>
      </c>
      <c r="AG46" t="s">
        <v>1922</v>
      </c>
      <c r="AH46">
        <f>IF(AND(B33="その他※",B46=""),1,0)</f>
        <v>0</v>
      </c>
      <c r="AI46">
        <f>IF(AND(B35="その他※",H46=""),1,0)</f>
        <v>0</v>
      </c>
      <c r="AJ46">
        <f>IF(AND(B37="その他※",N46=""),1,0)</f>
        <v>0</v>
      </c>
      <c r="AK46">
        <f>IF(AND(B39="その他※",T46=""),1,0)</f>
        <v>0</v>
      </c>
    </row>
    <row r="47" spans="1:54" ht="11.25">
      <c r="A47" s="725" t="s">
        <v>1337</v>
      </c>
      <c r="B47" s="725"/>
      <c r="C47" s="726" t="s">
        <v>1923</v>
      </c>
      <c r="D47" s="726"/>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row>
    <row r="48" spans="1:54" ht="12">
      <c r="A48" s="514"/>
      <c r="B48" s="515">
        <v>2</v>
      </c>
      <c r="C48" s="727" t="s">
        <v>1924</v>
      </c>
      <c r="D48" s="727"/>
      <c r="E48" s="727"/>
      <c r="F48" s="727"/>
      <c r="G48" s="727"/>
      <c r="H48" s="727"/>
      <c r="I48" s="727"/>
      <c r="J48" s="727"/>
      <c r="K48" s="727"/>
      <c r="L48" s="727"/>
      <c r="M48" s="727"/>
      <c r="N48" s="727"/>
      <c r="O48" s="727"/>
      <c r="P48" s="727"/>
      <c r="Q48" s="727"/>
      <c r="R48" s="727"/>
      <c r="S48" s="727"/>
      <c r="T48" s="727"/>
      <c r="U48" s="727"/>
      <c r="V48" s="727"/>
      <c r="W48" s="727"/>
      <c r="X48" s="727"/>
      <c r="Y48" s="727"/>
      <c r="Z48" s="727"/>
      <c r="AA48" s="727"/>
      <c r="AB48" s="727"/>
      <c r="AC48" s="727"/>
      <c r="AD48" s="727"/>
      <c r="AE48" s="727"/>
    </row>
    <row r="49" spans="1:37" ht="4.5" customHeight="1">
      <c r="A49" s="497"/>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row>
    <row r="50" spans="1:37" ht="4.5" customHeight="1">
      <c r="A50" s="497"/>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row>
    <row r="51" spans="1:37" ht="14.25" thickBot="1">
      <c r="A51" s="717" t="s">
        <v>1925</v>
      </c>
      <c r="B51" s="718"/>
      <c r="C51" s="718"/>
      <c r="D51" s="718"/>
      <c r="E51" s="718"/>
      <c r="F51" s="718"/>
      <c r="G51" s="718"/>
      <c r="H51" s="718"/>
      <c r="I51" s="718"/>
      <c r="J51" s="566"/>
      <c r="K51" s="566"/>
      <c r="L51" s="566"/>
      <c r="M51" s="566"/>
      <c r="N51" s="566"/>
      <c r="O51" s="567"/>
      <c r="P51" s="497"/>
      <c r="Q51" s="568"/>
      <c r="R51" s="568"/>
      <c r="S51" s="568"/>
      <c r="T51" s="568"/>
      <c r="U51" s="568"/>
      <c r="V51" s="568"/>
      <c r="W51" s="569"/>
      <c r="X51" s="570"/>
      <c r="Y51" s="570"/>
      <c r="Z51" s="570"/>
      <c r="AA51" s="566"/>
      <c r="AB51" s="719" t="s">
        <v>11</v>
      </c>
      <c r="AC51" s="720"/>
      <c r="AD51" s="720"/>
      <c r="AE51" s="720"/>
    </row>
    <row r="52" spans="1:37" ht="37.5">
      <c r="A52" s="677" t="s">
        <v>1875</v>
      </c>
      <c r="B52" s="678"/>
      <c r="C52" s="678"/>
      <c r="D52" s="678"/>
      <c r="E52" s="678"/>
      <c r="F52" s="679"/>
      <c r="G52" s="571">
        <v>1</v>
      </c>
      <c r="H52" s="721" t="str">
        <f>IF(AND(B33="選択↓",G53&gt;0),"↑関係分野が未選択",IF(B33="選択↓","",IF(NOT(B33="その他※"),B33,IF(B46="","↑専攻科名が未記入",B46))))</f>
        <v/>
      </c>
      <c r="I52" s="721"/>
      <c r="J52" s="721"/>
      <c r="K52" s="572" t="s">
        <v>1921</v>
      </c>
      <c r="L52" s="571">
        <v>2</v>
      </c>
      <c r="M52" s="721" t="str">
        <f>IF(AND(B35="選択↓",L53&gt;0),"↑関係分野が未選択",IF(B35="選択↓","",IF(NOT(B35="その他※"),B35,IF(H46="","↑専攻科名が未記入",H46))))</f>
        <v/>
      </c>
      <c r="N52" s="721"/>
      <c r="O52" s="721"/>
      <c r="P52" s="572" t="s">
        <v>1921</v>
      </c>
      <c r="Q52" s="571">
        <v>3</v>
      </c>
      <c r="R52" s="721" t="str">
        <f>IF(AND(B37="選択↓",Q53&gt;0),"↑関係分野が未選択",IF(B37="選択↓","",IF(NOT(B37="その他※"),B37,IF(N46="","↑専攻科名が未記入",N46))))</f>
        <v/>
      </c>
      <c r="S52" s="721"/>
      <c r="T52" s="721"/>
      <c r="U52" s="572" t="s">
        <v>1921</v>
      </c>
      <c r="V52" s="571">
        <v>4</v>
      </c>
      <c r="W52" s="721" t="str">
        <f>IF(AND(B39="選択↓",V53&gt;0),"↑関係分野が未選択",IF(B39="選択↓","",IF(NOT(B39="その他※"),B39,IF(T46="","↑専攻科名が未記入",T46))))</f>
        <v/>
      </c>
      <c r="X52" s="721"/>
      <c r="Y52" s="721"/>
      <c r="Z52" s="572" t="s">
        <v>1921</v>
      </c>
      <c r="AA52" s="655" t="s">
        <v>1926</v>
      </c>
      <c r="AB52" s="656"/>
      <c r="AC52" s="656"/>
      <c r="AD52" s="656"/>
      <c r="AE52" s="657"/>
      <c r="AF52" s="573" t="str">
        <f>IF(OR(AND($AH$52&gt;0,OR(AND(U34&gt;0,G54=0),AND(W34&gt;0,G55=0),AND(Y34&gt;0,G56=0))),
       AND($AI$52&gt;0,OR(AND(U36&gt;0,L54=0),AND(W36&gt;0,L55=0),AND(Y36&gt;0,L56=0))),
       AND($AJ$52&gt;0,OR(AND(U38&gt;0,Q54=0),AND(W38&gt;0,Q55=0),AND(Y38&gt;0,Q56=0))),
       AND($AK$52&gt;0,OR(AND(U40&gt;0,V54=0),AND(W40&gt;0,V55=0),AND(Y40&gt;0,V56=0)))),"←Ⅰ.生徒数とⅡ.学級数の回答が整合しません。（生徒数計が「0」で、学級数が「0」でない学年があります。）",
IF(OR(AND(AA34&gt;0,G53=0),
AND(AA36&gt;0,L53=0),
AND(AA40&gt;0,Q53=0),
AND(AB45&gt;0,V53=0)),"←Ⅰ.生徒数とⅡ.学級数の回答が整合しません。（生徒数計が「0」で、学級数が「0」でない学年があります。）",
""))</f>
        <v/>
      </c>
      <c r="AH52">
        <f>COUNTA(K33:R34,U33:Z34)</f>
        <v>0</v>
      </c>
      <c r="AI52">
        <f>COUNTA(K35:R36,U35:Z36)</f>
        <v>0</v>
      </c>
      <c r="AJ52">
        <f>COUNTA(K37:R38,U37:Z38)</f>
        <v>0</v>
      </c>
      <c r="AK52">
        <f>COUNTA(K39:R40,U39:Z40)</f>
        <v>0</v>
      </c>
    </row>
    <row r="53" spans="1:37" ht="18.75" customHeight="1">
      <c r="A53" s="709" t="s">
        <v>9</v>
      </c>
      <c r="B53" s="710"/>
      <c r="C53" s="711"/>
      <c r="D53" s="712">
        <f>D54+D55+D56</f>
        <v>0</v>
      </c>
      <c r="E53" s="713"/>
      <c r="F53" s="574" t="s">
        <v>21</v>
      </c>
      <c r="G53" s="714">
        <f>SUM(G54,G55,G56)</f>
        <v>0</v>
      </c>
      <c r="H53" s="715"/>
      <c r="I53" s="715"/>
      <c r="J53" s="715"/>
      <c r="K53" s="716"/>
      <c r="L53" s="714">
        <f>SUM(L54,L55,L56)</f>
        <v>0</v>
      </c>
      <c r="M53" s="715"/>
      <c r="N53" s="715"/>
      <c r="O53" s="715"/>
      <c r="P53" s="716"/>
      <c r="Q53" s="714">
        <f>SUM(Q54,Q55,Q56)</f>
        <v>0</v>
      </c>
      <c r="R53" s="715"/>
      <c r="S53" s="715"/>
      <c r="T53" s="715"/>
      <c r="U53" s="716"/>
      <c r="V53" s="714">
        <f>SUM(V54,V55,V56)</f>
        <v>0</v>
      </c>
      <c r="W53" s="715"/>
      <c r="X53" s="715"/>
      <c r="Y53" s="715"/>
      <c r="Z53" s="716"/>
      <c r="AA53" s="692"/>
      <c r="AB53" s="693"/>
      <c r="AC53" s="693"/>
      <c r="AD53" s="693"/>
      <c r="AE53" s="694"/>
      <c r="AF53" s="573" t="str">
        <f>IF(AND(SUM(AA34,AA36,AA38,AA40)&gt;0,COUNT(G54:Z56)=0),"←設置のある専攻科について、学年別学級数を記入してください。（設定がない学年は「0」を入力してください。）",
  IF(OR(G53&lt;&gt;SUM(G54:K56),L53&lt;&gt;SUM(L54:P56),Q53&lt;&gt;SUM(Q54:U56),V53&lt;&gt;SUM(V54:Z56)),"←専攻科別学級数（縦）計が学年別学級数の合計と一致しません。","")
)</f>
        <v/>
      </c>
    </row>
    <row r="54" spans="1:37" ht="18.75" customHeight="1">
      <c r="A54" s="701" t="s">
        <v>1927</v>
      </c>
      <c r="B54" s="702"/>
      <c r="C54" s="703"/>
      <c r="D54" s="704">
        <f t="shared" ref="D54:D56" si="2">SUM(G54:Z54)</f>
        <v>0</v>
      </c>
      <c r="E54" s="705"/>
      <c r="F54" s="575" t="s">
        <v>21</v>
      </c>
      <c r="G54" s="706"/>
      <c r="H54" s="707"/>
      <c r="I54" s="707"/>
      <c r="J54" s="707"/>
      <c r="K54" s="708"/>
      <c r="L54" s="706"/>
      <c r="M54" s="707"/>
      <c r="N54" s="707"/>
      <c r="O54" s="707"/>
      <c r="P54" s="708"/>
      <c r="Q54" s="706"/>
      <c r="R54" s="707"/>
      <c r="S54" s="707"/>
      <c r="T54" s="707"/>
      <c r="U54" s="708"/>
      <c r="V54" s="706"/>
      <c r="W54" s="707"/>
      <c r="X54" s="707"/>
      <c r="Y54" s="707"/>
      <c r="Z54" s="708"/>
      <c r="AA54" s="695"/>
      <c r="AB54" s="696"/>
      <c r="AC54" s="696"/>
      <c r="AD54" s="696"/>
      <c r="AE54" s="697"/>
      <c r="AF54" s="493" t="str">
        <f>IF(OR(AND(U34&gt;0,G54=""),AND(U36&gt;0,L54=""),AND(U38&gt;0,Q54=""),AND(U40&gt;0,V54="")),"←１年の学級数を入力してください。（設定がない場合は「0」を入力してください。）",
  IF(D54&lt;&gt;SUM(G54:Z54),"←１年の学級数（横）計が学科別内訳の計と一致しません。","")
)</f>
        <v/>
      </c>
    </row>
    <row r="55" spans="1:37" ht="18.75" customHeight="1">
      <c r="A55" s="701" t="s">
        <v>1928</v>
      </c>
      <c r="B55" s="702"/>
      <c r="C55" s="703"/>
      <c r="D55" s="704">
        <f t="shared" si="2"/>
        <v>0</v>
      </c>
      <c r="E55" s="705"/>
      <c r="F55" s="575" t="s">
        <v>21</v>
      </c>
      <c r="G55" s="681"/>
      <c r="H55" s="682"/>
      <c r="I55" s="682"/>
      <c r="J55" s="682"/>
      <c r="K55" s="683"/>
      <c r="L55" s="681"/>
      <c r="M55" s="682"/>
      <c r="N55" s="682"/>
      <c r="O55" s="682"/>
      <c r="P55" s="683"/>
      <c r="Q55" s="681"/>
      <c r="R55" s="682"/>
      <c r="S55" s="682"/>
      <c r="T55" s="682"/>
      <c r="U55" s="683"/>
      <c r="V55" s="681"/>
      <c r="W55" s="682"/>
      <c r="X55" s="682"/>
      <c r="Y55" s="682"/>
      <c r="Z55" s="683"/>
      <c r="AA55" s="695"/>
      <c r="AB55" s="696"/>
      <c r="AC55" s="696"/>
      <c r="AD55" s="696"/>
      <c r="AE55" s="697"/>
      <c r="AF55" s="573" t="str">
        <f>IF(OR(AND(W34&gt;0,G55=""),AND(W36&gt;0,L55=""),AND(W38&gt;0,Q55=""),AND(W40&gt;0,V55="")),"←２年の学級数を入力してください。（設定がない場合は「0」を入力してください。）",
  IF(D55&lt;&gt;SUM(G55:Z55),"←２年の学級数（横）計が学科別内訳の計と一致しません。","")
)</f>
        <v/>
      </c>
    </row>
    <row r="56" spans="1:37" ht="18.75" customHeight="1" thickBot="1">
      <c r="A56" s="684" t="s">
        <v>1929</v>
      </c>
      <c r="B56" s="685"/>
      <c r="C56" s="686"/>
      <c r="D56" s="687">
        <f t="shared" si="2"/>
        <v>0</v>
      </c>
      <c r="E56" s="688"/>
      <c r="F56" s="576" t="s">
        <v>21</v>
      </c>
      <c r="G56" s="689"/>
      <c r="H56" s="690"/>
      <c r="I56" s="690"/>
      <c r="J56" s="690"/>
      <c r="K56" s="691"/>
      <c r="L56" s="689"/>
      <c r="M56" s="690"/>
      <c r="N56" s="690"/>
      <c r="O56" s="690"/>
      <c r="P56" s="691"/>
      <c r="Q56" s="689"/>
      <c r="R56" s="690"/>
      <c r="S56" s="690"/>
      <c r="T56" s="690"/>
      <c r="U56" s="691"/>
      <c r="V56" s="689"/>
      <c r="W56" s="690"/>
      <c r="X56" s="690"/>
      <c r="Y56" s="690"/>
      <c r="Z56" s="691"/>
      <c r="AA56" s="698"/>
      <c r="AB56" s="699"/>
      <c r="AC56" s="699"/>
      <c r="AD56" s="699"/>
      <c r="AE56" s="700"/>
      <c r="AF56" s="573" t="str">
        <f>IF(OR(AND(Y34&gt;0,G56=""),AND(Y36&gt;0,L56=""),AND(Y38&gt;0,Q56=""),AND(Y40&gt;0,V56="")),"←３年の学級数を入力してください。（設定がない場合は「0」を入力してください。）",
  IF(D56&lt;&gt;SUM(G56:Z56),"←３年の学級数（横）計が学科別内訳の計と一致しません。","")
)</f>
        <v/>
      </c>
    </row>
    <row r="57" spans="1:37" ht="4.5" customHeight="1">
      <c r="A57" s="577"/>
      <c r="B57" s="578"/>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row>
    <row r="58" spans="1:37" ht="4.5" customHeight="1">
      <c r="A58" s="577"/>
      <c r="B58" s="578"/>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row>
    <row r="59" spans="1:37" ht="4.5" customHeight="1">
      <c r="A59" s="579"/>
      <c r="B59" s="580"/>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row>
    <row r="60" spans="1:37" ht="14.25" thickBot="1">
      <c r="A60" s="675" t="s">
        <v>1930</v>
      </c>
      <c r="B60" s="676"/>
      <c r="C60" s="676"/>
      <c r="D60" s="676"/>
      <c r="E60" s="676"/>
      <c r="F60" s="676"/>
      <c r="G60" s="676"/>
      <c r="H60" s="676"/>
      <c r="I60" s="676"/>
      <c r="J60" s="676"/>
      <c r="K60" s="676"/>
      <c r="L60" s="676"/>
      <c r="M60" s="676"/>
      <c r="N60" s="676"/>
      <c r="O60" s="581"/>
      <c r="P60" s="581"/>
      <c r="Q60" s="581"/>
      <c r="R60" s="581"/>
      <c r="S60" s="581"/>
      <c r="T60" s="581"/>
      <c r="U60" s="581"/>
      <c r="V60" s="581"/>
      <c r="W60" s="581"/>
      <c r="X60" s="581"/>
      <c r="Y60" s="581"/>
      <c r="Z60" s="581"/>
      <c r="AA60" s="582"/>
      <c r="AB60" s="582"/>
      <c r="AC60" s="582"/>
      <c r="AD60" s="582"/>
      <c r="AE60" s="583" t="s">
        <v>1</v>
      </c>
    </row>
    <row r="61" spans="1:37" ht="37.5">
      <c r="A61" s="677" t="s">
        <v>1875</v>
      </c>
      <c r="B61" s="678"/>
      <c r="C61" s="678"/>
      <c r="D61" s="678"/>
      <c r="E61" s="678"/>
      <c r="F61" s="679"/>
      <c r="G61" s="571">
        <v>1</v>
      </c>
      <c r="H61" s="680" t="str">
        <f>IF(AND(B33="選択↓",SUM(G69,G72,G75)&gt;0),"↑関係分野が未選択",IF(B33="選択↓","",IF(NOT(B33="その他※"),B33,IF(B46="","↑専攻科名が未記入",B46))))</f>
        <v/>
      </c>
      <c r="I61" s="680"/>
      <c r="J61" s="680"/>
      <c r="K61" s="572" t="s">
        <v>1921</v>
      </c>
      <c r="L61" s="571">
        <v>2</v>
      </c>
      <c r="M61" s="680" t="str">
        <f>IF(AND(B35="選択↓",SUM(L69,L72,L75)&gt;0),"↑関係分野が未選択",IF(B35="選択↓","",IF(NOT(B35="その他※"),B35,IF(H46="","↑専攻科名が未記入",H46))))</f>
        <v/>
      </c>
      <c r="N61" s="680"/>
      <c r="O61" s="680"/>
      <c r="P61" s="572" t="s">
        <v>1921</v>
      </c>
      <c r="Q61" s="571">
        <v>3</v>
      </c>
      <c r="R61" s="680" t="str">
        <f>IF(AND(B37="選択↓",SUM(Q69,Q72,Q75)&gt;0),"↑関係分野が未選択",IF(B37="選択↓","",IF(NOT(B37="その他※"),B37,IF(N46="","↑専攻科名が未記入",N46))))</f>
        <v/>
      </c>
      <c r="S61" s="680"/>
      <c r="T61" s="680"/>
      <c r="U61" s="572" t="s">
        <v>1921</v>
      </c>
      <c r="V61" s="571">
        <v>4</v>
      </c>
      <c r="W61" s="680" t="str">
        <f>IF(AND(B39="選択↓",SUM(V69,V72,V75)&gt;0),"↑関係分野が未選択",IF(B39="選択↓","",IF(NOT(B39="その他※"),B39,IF(T46="","↑専攻科名が未記入",T46))))</f>
        <v/>
      </c>
      <c r="X61" s="680"/>
      <c r="Y61" s="680"/>
      <c r="Z61" s="572" t="s">
        <v>1921</v>
      </c>
      <c r="AA61" s="655" t="s">
        <v>1931</v>
      </c>
      <c r="AB61" s="656"/>
      <c r="AC61" s="656"/>
      <c r="AD61" s="656"/>
      <c r="AE61" s="657"/>
      <c r="AF61" s="493" t="str">
        <f>IF(OR(
AND(U34&gt;0, COUNT(G62:J68)&lt;7), AND(U36&gt;0, COUNT(L62:O68)&lt;7), AND(U38&gt;0, COUNT(Q62:T68)&lt;7), AND(U40&gt;0, COUNT(V62:Y68)&lt;7),
AND(W34&gt;0, COUNT(G70:J71)&lt;2), AND(W36&gt;0, COUNT(L70:O71)&lt;2), AND(W38&gt;0, COUNT(Q70:T71)&lt;2), AND(W40&gt;0, COUNT(V70:Y71)&lt;2),
AND(Y34&gt;0, COUNT(G73:J74)&lt;2), AND(Y36&gt;0, COUNT(L73:O74)&lt;2), AND(Y38&gt;0, COUNT(Q73:T74)&lt;2), AND(Y40&gt;0, COUNT(V73:Y74)&lt;2)),
"←各納付金を入力してください。設定のない項目については「0」を入力してください。", "")</f>
        <v/>
      </c>
    </row>
    <row r="62" spans="1:37" ht="18.75" customHeight="1">
      <c r="A62" s="659" t="s">
        <v>1227</v>
      </c>
      <c r="B62" s="660"/>
      <c r="C62" s="663" t="s">
        <v>1236</v>
      </c>
      <c r="D62" s="663"/>
      <c r="E62" s="663"/>
      <c r="F62" s="663"/>
      <c r="G62" s="664"/>
      <c r="H62" s="665"/>
      <c r="I62" s="665"/>
      <c r="J62" s="665"/>
      <c r="K62" s="584" t="s">
        <v>18</v>
      </c>
      <c r="L62" s="664"/>
      <c r="M62" s="665"/>
      <c r="N62" s="665"/>
      <c r="O62" s="665"/>
      <c r="P62" s="584" t="s">
        <v>18</v>
      </c>
      <c r="Q62" s="664"/>
      <c r="R62" s="665"/>
      <c r="S62" s="665"/>
      <c r="T62" s="665"/>
      <c r="U62" s="584" t="s">
        <v>18</v>
      </c>
      <c r="V62" s="664"/>
      <c r="W62" s="665"/>
      <c r="X62" s="665"/>
      <c r="Y62" s="665"/>
      <c r="Z62" s="584" t="s">
        <v>18</v>
      </c>
      <c r="AA62" s="666"/>
      <c r="AB62" s="666"/>
      <c r="AC62" s="666"/>
      <c r="AD62" s="666"/>
      <c r="AE62" s="667"/>
      <c r="AF62" s="493" t="str">
        <f>IF(COUNTIF(AG62:AJ62,1),"←授業料が１０万円未満となっていますが正しいでしょうか。正しい場合はそのままで結構です。",
 IF(COUNTIF(AG62:AJ62,2),"←授業料が１００万円以上となっていますが正しいでしょうか。正しい場合はそのままで結構です。",
""))</f>
        <v/>
      </c>
      <c r="AG62" t="str">
        <f>IF(AND(U34&gt;0,G62&lt;&gt;"",G62&lt;100000),1,IF(AND(U34&gt;0,G62&gt;=1000000),2,""))</f>
        <v/>
      </c>
      <c r="AH62" t="str">
        <f>IF(AND(U36&gt;0,L62&lt;&gt;"",L62&lt;100000),1,IF(AND(U36&gt;0,L62&gt;=1000000),2,""))</f>
        <v/>
      </c>
      <c r="AI62" t="str">
        <f>IF(AND(U38&gt;0,Q62&lt;&gt;"",Q62&lt;100000),1,IF(AND(U38&gt;0,Q62&gt;=1000000),2,""))</f>
        <v/>
      </c>
      <c r="AJ62" t="str">
        <f>IF(AND(U40&gt;0,V62&lt;&gt;"",V62&lt;100000),1,IF(AND(U40&gt;0,V62&gt;=1000000),2,""))</f>
        <v/>
      </c>
    </row>
    <row r="63" spans="1:37" ht="18.75" customHeight="1">
      <c r="A63" s="659"/>
      <c r="B63" s="660"/>
      <c r="C63" s="658" t="s">
        <v>1235</v>
      </c>
      <c r="D63" s="658"/>
      <c r="E63" s="658"/>
      <c r="F63" s="658"/>
      <c r="G63" s="672"/>
      <c r="H63" s="673"/>
      <c r="I63" s="673"/>
      <c r="J63" s="673"/>
      <c r="K63" s="585" t="s">
        <v>18</v>
      </c>
      <c r="L63" s="672"/>
      <c r="M63" s="673"/>
      <c r="N63" s="673"/>
      <c r="O63" s="673"/>
      <c r="P63" s="585" t="s">
        <v>18</v>
      </c>
      <c r="Q63" s="672"/>
      <c r="R63" s="673"/>
      <c r="S63" s="673"/>
      <c r="T63" s="673"/>
      <c r="U63" s="585" t="s">
        <v>18</v>
      </c>
      <c r="V63" s="672"/>
      <c r="W63" s="673"/>
      <c r="X63" s="673"/>
      <c r="Y63" s="673"/>
      <c r="Z63" s="585" t="s">
        <v>18</v>
      </c>
      <c r="AA63" s="668"/>
      <c r="AB63" s="668"/>
      <c r="AC63" s="668"/>
      <c r="AD63" s="668"/>
      <c r="AE63" s="669"/>
      <c r="AF63" s="493" t="str">
        <f>IF(COUNTIF(AG63:AJ63,1),"←入学金が１万円未満となっていますが正しいでしょうか。正しい場合はそのままで結構です。",
 IF(COUNTIF(AG63:AJ63,2),"←入学金が５０万円以上となっていますが正しいでしょうか。正しい場合はそのままで結構です。",
""))</f>
        <v/>
      </c>
      <c r="AG63" t="str">
        <f>IF(AND(U34&gt;0,G63&lt;&gt;"",G63&lt;10000),1,IF(AND(U34&gt;0,G63&gt;=500000),2,""))</f>
        <v/>
      </c>
      <c r="AH63" t="str">
        <f>IF(AND(U36&gt;0,L63&lt;&gt;"",L63&lt;10000),1,IF(AND(U36&gt;0,L63&gt;=500000),2,""))</f>
        <v/>
      </c>
      <c r="AI63" t="str">
        <f>IF(AND(U38&gt;0,Q63&lt;&gt;"",Q63&lt;10000),1,IF(AND(U38&gt;0,Q63&gt;=500000),2,""))</f>
        <v/>
      </c>
      <c r="AJ63" t="str">
        <f>IF(AND(U40&gt;0,V63&lt;&gt;"",V63&lt;10000),1,IF(AND(U40&gt;0,V63&gt;=500000),2,""))</f>
        <v/>
      </c>
    </row>
    <row r="64" spans="1:37" ht="18.75" customHeight="1">
      <c r="A64" s="659"/>
      <c r="B64" s="660"/>
      <c r="C64" s="658" t="s">
        <v>1237</v>
      </c>
      <c r="D64" s="658"/>
      <c r="E64" s="658"/>
      <c r="F64" s="658"/>
      <c r="G64" s="672"/>
      <c r="H64" s="673"/>
      <c r="I64" s="673"/>
      <c r="J64" s="673"/>
      <c r="K64" s="585" t="s">
        <v>18</v>
      </c>
      <c r="L64" s="672"/>
      <c r="M64" s="673"/>
      <c r="N64" s="673"/>
      <c r="O64" s="673"/>
      <c r="P64" s="585" t="s">
        <v>18</v>
      </c>
      <c r="Q64" s="672"/>
      <c r="R64" s="673"/>
      <c r="S64" s="673"/>
      <c r="T64" s="673"/>
      <c r="U64" s="585" t="s">
        <v>18</v>
      </c>
      <c r="V64" s="672"/>
      <c r="W64" s="673"/>
      <c r="X64" s="673"/>
      <c r="Y64" s="673"/>
      <c r="Z64" s="585" t="s">
        <v>18</v>
      </c>
      <c r="AA64" s="668"/>
      <c r="AB64" s="668"/>
      <c r="AC64" s="668"/>
      <c r="AD64" s="668"/>
      <c r="AE64" s="669"/>
    </row>
    <row r="65" spans="1:36" ht="18.75" customHeight="1">
      <c r="A65" s="659"/>
      <c r="B65" s="660"/>
      <c r="C65" s="658" t="s">
        <v>1238</v>
      </c>
      <c r="D65" s="658"/>
      <c r="E65" s="658"/>
      <c r="F65" s="658"/>
      <c r="G65" s="645"/>
      <c r="H65" s="646"/>
      <c r="I65" s="646"/>
      <c r="J65" s="646"/>
      <c r="K65" s="586" t="s">
        <v>1440</v>
      </c>
      <c r="L65" s="645"/>
      <c r="M65" s="646"/>
      <c r="N65" s="646"/>
      <c r="O65" s="646"/>
      <c r="P65" s="586" t="s">
        <v>1440</v>
      </c>
      <c r="Q65" s="645"/>
      <c r="R65" s="646"/>
      <c r="S65" s="646"/>
      <c r="T65" s="646"/>
      <c r="U65" s="586" t="s">
        <v>1440</v>
      </c>
      <c r="V65" s="645"/>
      <c r="W65" s="646"/>
      <c r="X65" s="646"/>
      <c r="Y65" s="646"/>
      <c r="Z65" s="586" t="s">
        <v>1440</v>
      </c>
      <c r="AA65" s="668"/>
      <c r="AB65" s="668"/>
      <c r="AC65" s="668"/>
      <c r="AD65" s="668"/>
      <c r="AE65" s="669"/>
    </row>
    <row r="66" spans="1:36" ht="18.75" customHeight="1">
      <c r="A66" s="659"/>
      <c r="B66" s="660"/>
      <c r="C66" s="658" t="s">
        <v>1239</v>
      </c>
      <c r="D66" s="658"/>
      <c r="E66" s="658"/>
      <c r="F66" s="658"/>
      <c r="G66" s="645"/>
      <c r="H66" s="646"/>
      <c r="I66" s="646"/>
      <c r="J66" s="646"/>
      <c r="K66" s="585" t="s">
        <v>1440</v>
      </c>
      <c r="L66" s="645"/>
      <c r="M66" s="646"/>
      <c r="N66" s="646"/>
      <c r="O66" s="646"/>
      <c r="P66" s="585" t="s">
        <v>1440</v>
      </c>
      <c r="Q66" s="645"/>
      <c r="R66" s="646"/>
      <c r="S66" s="646"/>
      <c r="T66" s="646"/>
      <c r="U66" s="585" t="s">
        <v>1440</v>
      </c>
      <c r="V66" s="645"/>
      <c r="W66" s="646"/>
      <c r="X66" s="646"/>
      <c r="Y66" s="646"/>
      <c r="Z66" s="585" t="s">
        <v>1440</v>
      </c>
      <c r="AA66" s="668"/>
      <c r="AB66" s="668"/>
      <c r="AC66" s="668"/>
      <c r="AD66" s="668"/>
      <c r="AE66" s="669"/>
    </row>
    <row r="67" spans="1:36" ht="18.75" customHeight="1">
      <c r="A67" s="659"/>
      <c r="B67" s="660"/>
      <c r="C67" s="658" t="s">
        <v>1240</v>
      </c>
      <c r="D67" s="658"/>
      <c r="E67" s="658"/>
      <c r="F67" s="658"/>
      <c r="G67" s="672"/>
      <c r="H67" s="673"/>
      <c r="I67" s="673"/>
      <c r="J67" s="673"/>
      <c r="K67" s="585" t="s">
        <v>18</v>
      </c>
      <c r="L67" s="672"/>
      <c r="M67" s="673"/>
      <c r="N67" s="673"/>
      <c r="O67" s="673"/>
      <c r="P67" s="585" t="s">
        <v>18</v>
      </c>
      <c r="Q67" s="672"/>
      <c r="R67" s="673"/>
      <c r="S67" s="673"/>
      <c r="T67" s="673"/>
      <c r="U67" s="585" t="s">
        <v>18</v>
      </c>
      <c r="V67" s="672"/>
      <c r="W67" s="673"/>
      <c r="X67" s="673"/>
      <c r="Y67" s="673"/>
      <c r="Z67" s="585" t="s">
        <v>18</v>
      </c>
      <c r="AA67" s="668"/>
      <c r="AB67" s="668"/>
      <c r="AC67" s="668"/>
      <c r="AD67" s="668"/>
      <c r="AE67" s="669"/>
    </row>
    <row r="68" spans="1:36" ht="18.75" customHeight="1" thickBot="1">
      <c r="A68" s="659"/>
      <c r="B68" s="660"/>
      <c r="C68" s="674" t="s">
        <v>1324</v>
      </c>
      <c r="D68" s="674"/>
      <c r="E68" s="674"/>
      <c r="F68" s="674"/>
      <c r="G68" s="645"/>
      <c r="H68" s="646"/>
      <c r="I68" s="646"/>
      <c r="J68" s="646"/>
      <c r="K68" s="587" t="s">
        <v>18</v>
      </c>
      <c r="L68" s="645"/>
      <c r="M68" s="646"/>
      <c r="N68" s="646"/>
      <c r="O68" s="646"/>
      <c r="P68" s="587" t="s">
        <v>18</v>
      </c>
      <c r="Q68" s="645"/>
      <c r="R68" s="646"/>
      <c r="S68" s="646"/>
      <c r="T68" s="646"/>
      <c r="U68" s="587" t="s">
        <v>18</v>
      </c>
      <c r="V68" s="645"/>
      <c r="W68" s="646"/>
      <c r="X68" s="646"/>
      <c r="Y68" s="646"/>
      <c r="Z68" s="587" t="s">
        <v>18</v>
      </c>
      <c r="AA68" s="668"/>
      <c r="AB68" s="668"/>
      <c r="AC68" s="668"/>
      <c r="AD68" s="668"/>
      <c r="AE68" s="669"/>
    </row>
    <row r="69" spans="1:36" ht="18.75" customHeight="1" thickBot="1">
      <c r="A69" s="661"/>
      <c r="B69" s="662"/>
      <c r="C69" s="648" t="s">
        <v>1325</v>
      </c>
      <c r="D69" s="649"/>
      <c r="E69" s="649"/>
      <c r="F69" s="649"/>
      <c r="G69" s="650">
        <f>SUM(G62:J67)</f>
        <v>0</v>
      </c>
      <c r="H69" s="651"/>
      <c r="I69" s="651"/>
      <c r="J69" s="651"/>
      <c r="K69" s="588" t="s">
        <v>18</v>
      </c>
      <c r="L69" s="652">
        <f>SUM(L62:O67)</f>
        <v>0</v>
      </c>
      <c r="M69" s="653"/>
      <c r="N69" s="653"/>
      <c r="O69" s="653"/>
      <c r="P69" s="588" t="s">
        <v>18</v>
      </c>
      <c r="Q69" s="652">
        <f>SUM(Q62:T67)</f>
        <v>0</v>
      </c>
      <c r="R69" s="653"/>
      <c r="S69" s="653"/>
      <c r="T69" s="653"/>
      <c r="U69" s="588" t="s">
        <v>18</v>
      </c>
      <c r="V69" s="652">
        <f>SUM(V62:Y67)</f>
        <v>0</v>
      </c>
      <c r="W69" s="653"/>
      <c r="X69" s="653"/>
      <c r="Y69" s="653"/>
      <c r="Z69" s="589" t="s">
        <v>18</v>
      </c>
      <c r="AA69" s="668"/>
      <c r="AB69" s="668"/>
      <c r="AC69" s="668"/>
      <c r="AD69" s="668"/>
      <c r="AE69" s="669"/>
      <c r="AF69" s="493" t="str">
        <f>IF(SUM(AG69:AJ69)&gt;0,"←１年次納付金（縦）計が、明細の合計と一致しません。","")</f>
        <v/>
      </c>
      <c r="AG69">
        <f>IF(AND(U34&gt;0,G69&lt;&gt;SUM(G62:J67)),1,0)</f>
        <v>0</v>
      </c>
      <c r="AH69">
        <f>IF(AND(U36&gt;0,L69&lt;&gt;SUM(L62:O67)),1,0)</f>
        <v>0</v>
      </c>
      <c r="AI69">
        <f>IF(AND(U38&gt;0,Q69&lt;&gt;SUM(Q62:T67)),1,0)</f>
        <v>0</v>
      </c>
      <c r="AJ69">
        <f>IF(AND(U40&gt;0,V69&lt;&gt;SUM(V62:Y67)),1,0)</f>
        <v>0</v>
      </c>
    </row>
    <row r="70" spans="1:36" ht="18.75" customHeight="1">
      <c r="A70" s="636" t="s">
        <v>1241</v>
      </c>
      <c r="B70" s="637"/>
      <c r="C70" s="654" t="s">
        <v>1236</v>
      </c>
      <c r="D70" s="654"/>
      <c r="E70" s="654"/>
      <c r="F70" s="654"/>
      <c r="G70" s="634"/>
      <c r="H70" s="635"/>
      <c r="I70" s="635"/>
      <c r="J70" s="635"/>
      <c r="K70" s="590" t="s">
        <v>18</v>
      </c>
      <c r="L70" s="634"/>
      <c r="M70" s="635"/>
      <c r="N70" s="635"/>
      <c r="O70" s="635"/>
      <c r="P70" s="590" t="s">
        <v>18</v>
      </c>
      <c r="Q70" s="634"/>
      <c r="R70" s="635"/>
      <c r="S70" s="635"/>
      <c r="T70" s="635"/>
      <c r="U70" s="590" t="s">
        <v>18</v>
      </c>
      <c r="V70" s="634"/>
      <c r="W70" s="635"/>
      <c r="X70" s="635"/>
      <c r="Y70" s="635"/>
      <c r="Z70" s="591" t="s">
        <v>18</v>
      </c>
      <c r="AA70" s="668"/>
      <c r="AB70" s="668"/>
      <c r="AC70" s="668"/>
      <c r="AD70" s="668"/>
      <c r="AE70" s="669"/>
      <c r="AF70" s="493" t="str">
        <f>IF(COUNTIF(AG70:AJ70,1),"←授業料が１０万円未満となっていますが正しいでしょうか。正しい場合はそのままで結構です。",
 IF(COUNTIF(AG70:AJ70,2),"←授業料が１００万円以上となっていますが正しいでしょうか。正しい場合はそのままで結構です。",
""))</f>
        <v/>
      </c>
      <c r="AG70" t="str">
        <f>IF(AND(W34&gt;0,G70&lt;&gt;"",G70&lt;100000),1,IF(AND(W34&gt;0,G70&gt;=1000000),2,""))</f>
        <v/>
      </c>
      <c r="AH70" t="str">
        <f>IF(AND(W36&gt;0,L70&lt;&gt;"",L70&lt;100000),1,IF(AND(W36&gt;0,L70&gt;=1000000),2,""))</f>
        <v/>
      </c>
      <c r="AI70" t="str">
        <f>IF(AND(W38&gt;0,Q70&lt;&gt;"",Q70&lt;100000),1,IF(AND(W38&gt;0,Q70&gt;=1000000),2,""))</f>
        <v/>
      </c>
      <c r="AJ70" t="str">
        <f>IF(AND(W40&gt;0,V70&lt;&gt;"",V70&lt;100000),1,IF(AND(W40&gt;0,V70&gt;=1000000),2,""))</f>
        <v/>
      </c>
    </row>
    <row r="71" spans="1:36" ht="18.75" customHeight="1" thickBot="1">
      <c r="A71" s="638"/>
      <c r="B71" s="639"/>
      <c r="C71" s="647" t="s">
        <v>50</v>
      </c>
      <c r="D71" s="647"/>
      <c r="E71" s="647"/>
      <c r="F71" s="647"/>
      <c r="G71" s="645"/>
      <c r="H71" s="646"/>
      <c r="I71" s="646"/>
      <c r="J71" s="646"/>
      <c r="K71" s="587" t="s">
        <v>18</v>
      </c>
      <c r="L71" s="645"/>
      <c r="M71" s="646"/>
      <c r="N71" s="646"/>
      <c r="O71" s="646"/>
      <c r="P71" s="587" t="s">
        <v>18</v>
      </c>
      <c r="Q71" s="645"/>
      <c r="R71" s="646"/>
      <c r="S71" s="646"/>
      <c r="T71" s="646"/>
      <c r="U71" s="587" t="s">
        <v>18</v>
      </c>
      <c r="V71" s="645"/>
      <c r="W71" s="646"/>
      <c r="X71" s="646"/>
      <c r="Y71" s="646"/>
      <c r="Z71" s="592" t="s">
        <v>18</v>
      </c>
      <c r="AA71" s="668"/>
      <c r="AB71" s="668"/>
      <c r="AC71" s="668"/>
      <c r="AD71" s="668"/>
      <c r="AE71" s="669"/>
    </row>
    <row r="72" spans="1:36" ht="18.75" customHeight="1" thickBot="1">
      <c r="A72" s="640"/>
      <c r="B72" s="641"/>
      <c r="C72" s="623" t="s">
        <v>1215</v>
      </c>
      <c r="D72" s="624"/>
      <c r="E72" s="624"/>
      <c r="F72" s="624"/>
      <c r="G72" s="625">
        <f>SUM(G70:J71)</f>
        <v>0</v>
      </c>
      <c r="H72" s="626"/>
      <c r="I72" s="626"/>
      <c r="J72" s="626"/>
      <c r="K72" s="588" t="s">
        <v>18</v>
      </c>
      <c r="L72" s="625">
        <f>SUM(L70:O71)</f>
        <v>0</v>
      </c>
      <c r="M72" s="626"/>
      <c r="N72" s="626"/>
      <c r="O72" s="626"/>
      <c r="P72" s="588" t="s">
        <v>18</v>
      </c>
      <c r="Q72" s="625">
        <f>SUM(Q70:T71)</f>
        <v>0</v>
      </c>
      <c r="R72" s="626"/>
      <c r="S72" s="626"/>
      <c r="T72" s="626"/>
      <c r="U72" s="588" t="s">
        <v>18</v>
      </c>
      <c r="V72" s="625">
        <f>SUM(V70:Y71)</f>
        <v>0</v>
      </c>
      <c r="W72" s="626"/>
      <c r="X72" s="626"/>
      <c r="Y72" s="626"/>
      <c r="Z72" s="589" t="s">
        <v>18</v>
      </c>
      <c r="AA72" s="668"/>
      <c r="AB72" s="668"/>
      <c r="AC72" s="668"/>
      <c r="AD72" s="668"/>
      <c r="AE72" s="669"/>
      <c r="AF72" s="493" t="str">
        <f>IF(SUM(AG72:AJ72)&gt;0,"←２年次納付金（縦）計が、明細の合計と一致しません。","")</f>
        <v/>
      </c>
      <c r="AG72">
        <f>IF(AND(W34&gt;0,G72&lt;&gt;SUM(G70:J71)),1,0)</f>
        <v>0</v>
      </c>
      <c r="AH72">
        <f>IF(AND(W36&gt;0,L72&lt;&gt;SUM(L70:O71)),1,0)</f>
        <v>0</v>
      </c>
      <c r="AI72">
        <f>IF(AND(W38&gt;0,Q72&lt;&gt;SUM(Q70:T71)),1,0)</f>
        <v>0</v>
      </c>
      <c r="AJ72">
        <f>IF(AND(W40&gt;0,V72&lt;&gt;SUM(V70:Y71)),1,0)</f>
        <v>0</v>
      </c>
    </row>
    <row r="73" spans="1:36" ht="18.75" customHeight="1">
      <c r="A73" s="627" t="s">
        <v>1242</v>
      </c>
      <c r="B73" s="628"/>
      <c r="C73" s="633" t="s">
        <v>1236</v>
      </c>
      <c r="D73" s="633"/>
      <c r="E73" s="633"/>
      <c r="F73" s="633"/>
      <c r="G73" s="634"/>
      <c r="H73" s="635"/>
      <c r="I73" s="635"/>
      <c r="J73" s="635"/>
      <c r="K73" s="590" t="s">
        <v>18</v>
      </c>
      <c r="L73" s="634"/>
      <c r="M73" s="635"/>
      <c r="N73" s="635"/>
      <c r="O73" s="635"/>
      <c r="P73" s="590" t="s">
        <v>18</v>
      </c>
      <c r="Q73" s="634"/>
      <c r="R73" s="635"/>
      <c r="S73" s="635"/>
      <c r="T73" s="635"/>
      <c r="U73" s="590" t="s">
        <v>18</v>
      </c>
      <c r="V73" s="634"/>
      <c r="W73" s="635"/>
      <c r="X73" s="635"/>
      <c r="Y73" s="635"/>
      <c r="Z73" s="590" t="s">
        <v>18</v>
      </c>
      <c r="AA73" s="668"/>
      <c r="AB73" s="668"/>
      <c r="AC73" s="668"/>
      <c r="AD73" s="668"/>
      <c r="AE73" s="669"/>
      <c r="AF73" s="493" t="str">
        <f>IF(COUNTIF(AG73:AJ73,1),"←授業料が１０万円未満となっていますが正しいでしょうか。正しい場合はそのままで結構です。",
 IF(COUNTIF(AG73:AJ73,2),"←授業料が１００万円以上となっていますが正しいでしょうか。正しい場合はそのままで結構です。",
""))</f>
        <v/>
      </c>
      <c r="AG73" t="str">
        <f>IF(AND(Y34&gt;0,G73&lt;&gt;"",G73&lt;100000),1,IF(AND(Y34&gt;0,G73&gt;=1000000),2,""))</f>
        <v/>
      </c>
      <c r="AH73" t="str">
        <f>IF(AND(Y36&gt;0,L73&lt;&gt;"",L73&lt;100000),1,IF(AND(Y36&gt;0,L73&gt;=1000000),2,""))</f>
        <v/>
      </c>
      <c r="AI73" t="str">
        <f>IF(AND(Y38&gt;0,Q73&lt;&gt;"",Q73&lt;100000),1,IF(AND(Y38&gt;0,Q73&gt;=1000000),2,""))</f>
        <v/>
      </c>
      <c r="AJ73" t="str">
        <f>IF(AND(Y40&gt;0,V73&lt;&gt;"",V73&lt;100000),1,IF(AND(Y40&gt;0,V73&gt;=1000000),2,""))</f>
        <v/>
      </c>
    </row>
    <row r="74" spans="1:36" ht="18.75" customHeight="1" thickBot="1">
      <c r="A74" s="629"/>
      <c r="B74" s="630"/>
      <c r="C74" s="644" t="s">
        <v>50</v>
      </c>
      <c r="D74" s="644"/>
      <c r="E74" s="644"/>
      <c r="F74" s="644"/>
      <c r="G74" s="645"/>
      <c r="H74" s="646"/>
      <c r="I74" s="646"/>
      <c r="J74" s="646"/>
      <c r="K74" s="587" t="s">
        <v>18</v>
      </c>
      <c r="L74" s="645"/>
      <c r="M74" s="646"/>
      <c r="N74" s="646"/>
      <c r="O74" s="646"/>
      <c r="P74" s="587" t="s">
        <v>18</v>
      </c>
      <c r="Q74" s="645"/>
      <c r="R74" s="646"/>
      <c r="S74" s="646"/>
      <c r="T74" s="646"/>
      <c r="U74" s="587" t="s">
        <v>18</v>
      </c>
      <c r="V74" s="645"/>
      <c r="W74" s="646"/>
      <c r="X74" s="646"/>
      <c r="Y74" s="646"/>
      <c r="Z74" s="587" t="s">
        <v>18</v>
      </c>
      <c r="AA74" s="668"/>
      <c r="AB74" s="668"/>
      <c r="AC74" s="668"/>
      <c r="AD74" s="668"/>
      <c r="AE74" s="669"/>
    </row>
    <row r="75" spans="1:36" ht="18.75" customHeight="1" thickBot="1">
      <c r="A75" s="631"/>
      <c r="B75" s="632"/>
      <c r="C75" s="642" t="s">
        <v>1215</v>
      </c>
      <c r="D75" s="643"/>
      <c r="E75" s="643"/>
      <c r="F75" s="643"/>
      <c r="G75" s="625">
        <f>SUM(G73:J74)</f>
        <v>0</v>
      </c>
      <c r="H75" s="626"/>
      <c r="I75" s="626"/>
      <c r="J75" s="626"/>
      <c r="K75" s="588" t="s">
        <v>18</v>
      </c>
      <c r="L75" s="625">
        <f>SUM(L73:O74)</f>
        <v>0</v>
      </c>
      <c r="M75" s="626"/>
      <c r="N75" s="626"/>
      <c r="O75" s="626"/>
      <c r="P75" s="588" t="s">
        <v>18</v>
      </c>
      <c r="Q75" s="625">
        <f>SUM(Q73:T74)</f>
        <v>0</v>
      </c>
      <c r="R75" s="626"/>
      <c r="S75" s="626"/>
      <c r="T75" s="626"/>
      <c r="U75" s="588" t="s">
        <v>18</v>
      </c>
      <c r="V75" s="625">
        <f>SUM(V73:Y74)</f>
        <v>0</v>
      </c>
      <c r="W75" s="626"/>
      <c r="X75" s="626"/>
      <c r="Y75" s="626"/>
      <c r="Z75" s="589" t="s">
        <v>18</v>
      </c>
      <c r="AA75" s="670"/>
      <c r="AB75" s="670"/>
      <c r="AC75" s="670"/>
      <c r="AD75" s="670"/>
      <c r="AE75" s="671"/>
      <c r="AF75" s="493" t="str">
        <f>IF(SUM(AG75:AJ75)&gt;0,"←３年次納付金（縦）計が、明細の合計と一致しません。","")</f>
        <v/>
      </c>
      <c r="AG75">
        <f>IF(AND(Y34&gt;0,G75&lt;&gt;SUM(G73:J74)),1,0)</f>
        <v>0</v>
      </c>
      <c r="AH75">
        <f>IF(AND(Y36&gt;0,L75&lt;&gt;SUM(L73:O74)),1,0)</f>
        <v>0</v>
      </c>
      <c r="AI75">
        <f>IF(AND(Y38&gt;0,Q75&lt;&gt;SUM(Q73:T74)),1,0)</f>
        <v>0</v>
      </c>
      <c r="AJ75">
        <f>IF(AND(Y40&gt;0,V75&lt;&gt;SUM(V73:Y74)),1,0)</f>
        <v>0</v>
      </c>
    </row>
    <row r="76" spans="1:36">
      <c r="A76" s="496"/>
      <c r="B76" s="496"/>
      <c r="C76" s="496"/>
      <c r="D76" s="496"/>
      <c r="E76" s="496"/>
      <c r="F76" s="496"/>
      <c r="G76" s="496"/>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row>
    <row r="90" spans="33:43" ht="13.5" customHeight="1">
      <c r="AG90" s="492" t="s">
        <v>1932</v>
      </c>
      <c r="AH90" s="492" t="s">
        <v>1933</v>
      </c>
      <c r="AI90" s="492" t="s">
        <v>1934</v>
      </c>
      <c r="AJ90" s="492" t="s">
        <v>1935</v>
      </c>
      <c r="AO90" s="593"/>
      <c r="AP90" s="594"/>
      <c r="AQ90" s="595"/>
    </row>
    <row r="91" spans="33:43" ht="13.5">
      <c r="AG91" s="492" t="s">
        <v>992</v>
      </c>
      <c r="AH91" s="492" t="s">
        <v>125</v>
      </c>
      <c r="AI91" s="492" t="str">
        <f>AG91&amp;AH91</f>
        <v>青森県東奥学園高等学校</v>
      </c>
      <c r="AJ91" s="492">
        <v>8201001</v>
      </c>
      <c r="AO91" s="596">
        <v>1</v>
      </c>
      <c r="AP91" s="597" t="s">
        <v>1936</v>
      </c>
      <c r="AQ91" s="595" t="s">
        <v>1293</v>
      </c>
    </row>
    <row r="92" spans="33:43" ht="13.5">
      <c r="AG92" s="492" t="s">
        <v>992</v>
      </c>
      <c r="AH92" s="492" t="s">
        <v>70</v>
      </c>
      <c r="AI92" s="492" t="str">
        <f t="shared" ref="AI92:AI155" si="3">AG92&amp;AH92</f>
        <v>青森県千葉学園高等学校</v>
      </c>
      <c r="AJ92" s="492">
        <v>8201007</v>
      </c>
      <c r="AO92" s="596">
        <v>2</v>
      </c>
      <c r="AP92" s="597" t="s">
        <v>1937</v>
      </c>
      <c r="AQ92" s="598"/>
    </row>
    <row r="93" spans="33:43" ht="13.5">
      <c r="AG93" s="492" t="s">
        <v>993</v>
      </c>
      <c r="AH93" s="492" t="s">
        <v>71</v>
      </c>
      <c r="AI93" s="492" t="str">
        <f t="shared" si="3"/>
        <v>岩手県岩手女子高等学校</v>
      </c>
      <c r="AJ93" s="492">
        <v>8202002</v>
      </c>
      <c r="AO93" s="599">
        <v>3</v>
      </c>
      <c r="AP93" s="597" t="s">
        <v>1938</v>
      </c>
      <c r="AQ93" s="42"/>
    </row>
    <row r="94" spans="33:43" ht="13.5">
      <c r="AG94" s="492" t="s">
        <v>993</v>
      </c>
      <c r="AH94" s="492" t="s">
        <v>1939</v>
      </c>
      <c r="AI94" s="492" t="str">
        <f t="shared" si="3"/>
        <v>岩手県盛岡誠桜高等学校</v>
      </c>
      <c r="AJ94" s="492">
        <v>8202990</v>
      </c>
      <c r="AO94" s="599">
        <v>4</v>
      </c>
      <c r="AP94" s="42"/>
      <c r="AQ94" s="42"/>
    </row>
    <row r="95" spans="33:43" ht="13.5">
      <c r="AG95" s="492" t="s">
        <v>996</v>
      </c>
      <c r="AH95" s="492" t="s">
        <v>72</v>
      </c>
      <c r="AI95" s="492" t="str">
        <f t="shared" si="3"/>
        <v>山形県山形明正高等学校</v>
      </c>
      <c r="AJ95" s="492">
        <v>8205004</v>
      </c>
      <c r="AO95" s="599">
        <v>5</v>
      </c>
      <c r="AP95" s="42"/>
      <c r="AQ95" s="42"/>
    </row>
    <row r="96" spans="33:43">
      <c r="AG96" s="492" t="s">
        <v>997</v>
      </c>
      <c r="AH96" s="492" t="s">
        <v>141</v>
      </c>
      <c r="AI96" s="492" t="str">
        <f t="shared" si="3"/>
        <v>福島県福島東稜高等学校</v>
      </c>
      <c r="AJ96" s="492">
        <v>8206005</v>
      </c>
    </row>
    <row r="97" spans="33:36">
      <c r="AG97" s="492" t="s">
        <v>997</v>
      </c>
      <c r="AH97" s="492" t="s">
        <v>73</v>
      </c>
      <c r="AI97" s="492" t="str">
        <f t="shared" si="3"/>
        <v>福島県仁愛高等学校</v>
      </c>
      <c r="AJ97" s="492">
        <v>8206017</v>
      </c>
    </row>
    <row r="98" spans="33:36">
      <c r="AG98" s="492" t="s">
        <v>998</v>
      </c>
      <c r="AH98" s="492" t="s">
        <v>74</v>
      </c>
      <c r="AI98" s="492" t="str">
        <f t="shared" si="3"/>
        <v>新潟県加茂暁星高等学校</v>
      </c>
      <c r="AJ98" s="492">
        <v>8207010</v>
      </c>
    </row>
    <row r="99" spans="33:36">
      <c r="AG99" s="492" t="s">
        <v>999</v>
      </c>
      <c r="AH99" s="492" t="s">
        <v>75</v>
      </c>
      <c r="AI99" s="492" t="str">
        <f t="shared" si="3"/>
        <v>茨城県大成女子高等学校</v>
      </c>
      <c r="AJ99" s="492">
        <v>8301002</v>
      </c>
    </row>
    <row r="100" spans="33:36">
      <c r="AG100" s="492" t="s">
        <v>1045</v>
      </c>
      <c r="AH100" s="492" t="s">
        <v>76</v>
      </c>
      <c r="AI100" s="492" t="str">
        <f t="shared" si="3"/>
        <v>東京都愛国高等学校</v>
      </c>
      <c r="AJ100" s="492">
        <v>8406009</v>
      </c>
    </row>
    <row r="101" spans="33:36">
      <c r="AG101" s="492" t="s">
        <v>1006</v>
      </c>
      <c r="AH101" s="492" t="s">
        <v>113</v>
      </c>
      <c r="AI101" s="492" t="str">
        <f t="shared" si="3"/>
        <v>福井県福井工業大学附属福井高等学校</v>
      </c>
      <c r="AJ101" s="492">
        <v>8503003</v>
      </c>
    </row>
    <row r="102" spans="33:36">
      <c r="AG102" s="492" t="s">
        <v>1010</v>
      </c>
      <c r="AH102" s="492" t="s">
        <v>1940</v>
      </c>
      <c r="AI102" s="492" t="str">
        <f t="shared" si="3"/>
        <v>静岡県浜松修学舎高等学校</v>
      </c>
      <c r="AJ102" s="492">
        <v>8507033</v>
      </c>
    </row>
    <row r="103" spans="33:36">
      <c r="AG103" s="492" t="s">
        <v>1011</v>
      </c>
      <c r="AH103" s="492" t="s">
        <v>742</v>
      </c>
      <c r="AI103" s="492" t="str">
        <f t="shared" si="3"/>
        <v>愛知県愛知黎明高等学校</v>
      </c>
      <c r="AJ103" s="492">
        <v>8508038</v>
      </c>
    </row>
    <row r="104" spans="33:36">
      <c r="AG104" s="492" t="s">
        <v>1012</v>
      </c>
      <c r="AH104" s="492" t="s">
        <v>114</v>
      </c>
      <c r="AI104" s="492" t="str">
        <f t="shared" si="3"/>
        <v>三重県愛農学園農業高等学校</v>
      </c>
      <c r="AJ104" s="492">
        <v>8509011</v>
      </c>
    </row>
    <row r="105" spans="33:36">
      <c r="AG105" s="492" t="s">
        <v>1013</v>
      </c>
      <c r="AH105" s="492" t="s">
        <v>235</v>
      </c>
      <c r="AI105" s="492" t="str">
        <f t="shared" si="3"/>
        <v>滋賀県滋賀学園高等学校</v>
      </c>
      <c r="AJ105" s="492">
        <v>8601007</v>
      </c>
    </row>
    <row r="106" spans="33:36">
      <c r="AG106" s="492" t="s">
        <v>1014</v>
      </c>
      <c r="AH106" s="492" t="s">
        <v>77</v>
      </c>
      <c r="AI106" s="492" t="str">
        <f t="shared" si="3"/>
        <v>京都府京都聖カタリナ高等学校</v>
      </c>
      <c r="AJ106" s="492">
        <v>8602029</v>
      </c>
    </row>
    <row r="107" spans="33:36">
      <c r="AG107" s="492" t="s">
        <v>1014</v>
      </c>
      <c r="AH107" s="492" t="s">
        <v>78</v>
      </c>
      <c r="AI107" s="492" t="str">
        <f t="shared" si="3"/>
        <v>京都府日星高等学校</v>
      </c>
      <c r="AJ107" s="492">
        <v>8602031</v>
      </c>
    </row>
    <row r="108" spans="33:36">
      <c r="AG108" s="492" t="s">
        <v>1014</v>
      </c>
      <c r="AH108" s="492" t="s">
        <v>240</v>
      </c>
      <c r="AI108" s="492" t="str">
        <f t="shared" si="3"/>
        <v>京都府京都翔英高等学校</v>
      </c>
      <c r="AJ108" s="492">
        <v>8602038</v>
      </c>
    </row>
    <row r="109" spans="33:36">
      <c r="AG109" s="492" t="s">
        <v>1015</v>
      </c>
      <c r="AH109" s="492" t="s">
        <v>1941</v>
      </c>
      <c r="AI109" s="492" t="str">
        <f t="shared" si="3"/>
        <v>大阪府アナン学園高等学校</v>
      </c>
      <c r="AJ109" s="492">
        <v>8603065</v>
      </c>
    </row>
    <row r="110" spans="33:36">
      <c r="AG110" s="492" t="s">
        <v>1015</v>
      </c>
      <c r="AH110" s="492" t="s">
        <v>1942</v>
      </c>
      <c r="AI110" s="492" t="str">
        <f t="shared" si="3"/>
        <v>大阪府大阪暁光高等学校</v>
      </c>
      <c r="AJ110" s="492">
        <v>8603067</v>
      </c>
    </row>
    <row r="111" spans="33:36">
      <c r="AG111" s="492" t="s">
        <v>1017</v>
      </c>
      <c r="AH111" s="492" t="s">
        <v>79</v>
      </c>
      <c r="AI111" s="492" t="str">
        <f t="shared" si="3"/>
        <v>奈良県奈良文化高等学校</v>
      </c>
      <c r="AJ111" s="492">
        <v>8605010</v>
      </c>
    </row>
    <row r="112" spans="33:36">
      <c r="AG112" s="492" t="s">
        <v>1019</v>
      </c>
      <c r="AH112" s="492" t="s">
        <v>80</v>
      </c>
      <c r="AI112" s="492" t="str">
        <f t="shared" si="3"/>
        <v>鳥取県米子北高等学校</v>
      </c>
      <c r="AJ112" s="492">
        <v>8701003</v>
      </c>
    </row>
    <row r="113" spans="33:36">
      <c r="AG113" s="492" t="s">
        <v>1021</v>
      </c>
      <c r="AH113" s="492" t="s">
        <v>81</v>
      </c>
      <c r="AI113" s="492" t="str">
        <f t="shared" si="3"/>
        <v>岡山県創志学園高等学校</v>
      </c>
      <c r="AJ113" s="492">
        <v>8703007</v>
      </c>
    </row>
    <row r="114" spans="33:36">
      <c r="AG114" s="492" t="s">
        <v>1021</v>
      </c>
      <c r="AH114" s="492" t="s">
        <v>82</v>
      </c>
      <c r="AI114" s="492" t="str">
        <f t="shared" si="3"/>
        <v>岡山県倉敷翠松高等学校</v>
      </c>
      <c r="AJ114" s="492">
        <v>8703010</v>
      </c>
    </row>
    <row r="115" spans="33:36">
      <c r="AG115" s="492" t="s">
        <v>1022</v>
      </c>
      <c r="AH115" s="492" t="s">
        <v>1943</v>
      </c>
      <c r="AI115" s="492" t="str">
        <f t="shared" si="3"/>
        <v>広島県清水ヶ丘高等学校</v>
      </c>
      <c r="AJ115" s="492">
        <v>8704018</v>
      </c>
    </row>
    <row r="116" spans="33:36">
      <c r="AG116" s="492" t="s">
        <v>1023</v>
      </c>
      <c r="AH116" s="492" t="s">
        <v>1944</v>
      </c>
      <c r="AI116" s="492" t="str">
        <f t="shared" si="3"/>
        <v>山口県山口中村学園高等学校</v>
      </c>
      <c r="AJ116" s="492">
        <v>8705007</v>
      </c>
    </row>
    <row r="117" spans="33:36">
      <c r="AG117" s="492" t="s">
        <v>1023</v>
      </c>
      <c r="AH117" s="492" t="s">
        <v>273</v>
      </c>
      <c r="AI117" s="492" t="str">
        <f t="shared" si="3"/>
        <v>山口県山口県鴻城高等学校</v>
      </c>
      <c r="AJ117" s="492">
        <v>8705009</v>
      </c>
    </row>
    <row r="118" spans="33:36">
      <c r="AG118" s="492" t="s">
        <v>1024</v>
      </c>
      <c r="AH118" s="492" t="s">
        <v>1945</v>
      </c>
      <c r="AI118" s="492" t="str">
        <f t="shared" si="3"/>
        <v>香川県四国学院大学香川西高等学校</v>
      </c>
      <c r="AJ118" s="492">
        <v>8802008</v>
      </c>
    </row>
    <row r="119" spans="33:36">
      <c r="AG119" s="492" t="s">
        <v>1024</v>
      </c>
      <c r="AH119" s="492" t="s">
        <v>1946</v>
      </c>
      <c r="AI119" s="492" t="str">
        <f t="shared" si="3"/>
        <v>香川県寒川高等学校</v>
      </c>
      <c r="AJ119" s="492">
        <v>8802009</v>
      </c>
    </row>
    <row r="120" spans="33:36">
      <c r="AG120" s="492" t="s">
        <v>1025</v>
      </c>
      <c r="AH120" s="492" t="s">
        <v>1947</v>
      </c>
      <c r="AI120" s="492" t="str">
        <f t="shared" si="3"/>
        <v>愛媛県聖カタリナ学園高等学校</v>
      </c>
      <c r="AJ120" s="492">
        <v>8803006</v>
      </c>
    </row>
    <row r="121" spans="33:36">
      <c r="AG121" s="492" t="s">
        <v>1025</v>
      </c>
      <c r="AH121" s="492" t="s">
        <v>1791</v>
      </c>
      <c r="AI121" s="492" t="str">
        <f t="shared" si="3"/>
        <v>愛媛県帝京第五高等学校</v>
      </c>
      <c r="AJ121" s="492">
        <v>8803011</v>
      </c>
    </row>
    <row r="122" spans="33:36">
      <c r="AG122" s="492" t="s">
        <v>1026</v>
      </c>
      <c r="AH122" s="492" t="s">
        <v>84</v>
      </c>
      <c r="AI122" s="492" t="str">
        <f t="shared" si="3"/>
        <v>高知県高知中央高等学校</v>
      </c>
      <c r="AJ122" s="492">
        <v>8804006</v>
      </c>
    </row>
    <row r="123" spans="33:36">
      <c r="AG123" s="492" t="s">
        <v>1027</v>
      </c>
      <c r="AH123" s="492" t="s">
        <v>85</v>
      </c>
      <c r="AI123" s="492" t="str">
        <f t="shared" si="3"/>
        <v>福岡県純真高等学校</v>
      </c>
      <c r="AJ123" s="492">
        <v>8901002</v>
      </c>
    </row>
    <row r="124" spans="33:36">
      <c r="AG124" s="492" t="s">
        <v>1027</v>
      </c>
      <c r="AH124" s="492" t="s">
        <v>285</v>
      </c>
      <c r="AI124" s="492" t="str">
        <f t="shared" si="3"/>
        <v>福岡県精華女子高等学校</v>
      </c>
      <c r="AJ124" s="492">
        <v>8901003</v>
      </c>
    </row>
    <row r="125" spans="33:36">
      <c r="AG125" s="492" t="s">
        <v>1027</v>
      </c>
      <c r="AH125" s="492" t="s">
        <v>86</v>
      </c>
      <c r="AI125" s="492" t="str">
        <f t="shared" si="3"/>
        <v>福岡県博多高等学校</v>
      </c>
      <c r="AJ125" s="492">
        <v>8901009</v>
      </c>
    </row>
    <row r="126" spans="33:36">
      <c r="AG126" s="492" t="s">
        <v>1027</v>
      </c>
      <c r="AH126" s="492" t="s">
        <v>87</v>
      </c>
      <c r="AI126" s="492" t="str">
        <f t="shared" si="3"/>
        <v>福岡県折尾愛真高等学校</v>
      </c>
      <c r="AJ126" s="492">
        <v>8901018</v>
      </c>
    </row>
    <row r="127" spans="33:36">
      <c r="AG127" s="492" t="s">
        <v>1027</v>
      </c>
      <c r="AH127" s="492" t="s">
        <v>88</v>
      </c>
      <c r="AI127" s="492" t="str">
        <f t="shared" si="3"/>
        <v>福岡県美萩野女子高等学校</v>
      </c>
      <c r="AJ127" s="492">
        <v>8901027</v>
      </c>
    </row>
    <row r="128" spans="33:36">
      <c r="AG128" s="492" t="s">
        <v>1027</v>
      </c>
      <c r="AH128" s="492" t="s">
        <v>89</v>
      </c>
      <c r="AI128" s="492" t="str">
        <f t="shared" si="3"/>
        <v>福岡県飯塚高等学校</v>
      </c>
      <c r="AJ128" s="492">
        <v>8901042</v>
      </c>
    </row>
    <row r="129" spans="33:36">
      <c r="AG129" s="492" t="s">
        <v>1027</v>
      </c>
      <c r="AH129" s="492" t="s">
        <v>115</v>
      </c>
      <c r="AI129" s="492" t="str">
        <f t="shared" si="3"/>
        <v>福岡県近畿大学附属福岡高等学校</v>
      </c>
      <c r="AJ129" s="492">
        <v>8901045</v>
      </c>
    </row>
    <row r="130" spans="33:36">
      <c r="AG130" s="492" t="s">
        <v>1027</v>
      </c>
      <c r="AH130" s="492" t="s">
        <v>90</v>
      </c>
      <c r="AI130" s="492" t="str">
        <f t="shared" si="3"/>
        <v>福岡県大和青藍高等学校</v>
      </c>
      <c r="AJ130" s="492">
        <v>8901047</v>
      </c>
    </row>
    <row r="131" spans="33:36">
      <c r="AG131" s="492" t="s">
        <v>1027</v>
      </c>
      <c r="AH131" s="492" t="s">
        <v>1948</v>
      </c>
      <c r="AI131" s="492" t="str">
        <f t="shared" si="3"/>
        <v>福岡県福岡キャリアｉ高等学校</v>
      </c>
      <c r="AJ131" s="492">
        <v>8901050</v>
      </c>
    </row>
    <row r="132" spans="33:36">
      <c r="AG132" s="492" t="s">
        <v>1027</v>
      </c>
      <c r="AH132" s="492" t="s">
        <v>92</v>
      </c>
      <c r="AI132" s="492" t="str">
        <f t="shared" si="3"/>
        <v>福岡県希望が丘高等学校</v>
      </c>
      <c r="AJ132" s="492">
        <v>8901061</v>
      </c>
    </row>
    <row r="133" spans="33:36">
      <c r="AG133" s="492" t="s">
        <v>1028</v>
      </c>
      <c r="AH133" s="492" t="s">
        <v>116</v>
      </c>
      <c r="AI133" s="492" t="str">
        <f t="shared" si="3"/>
        <v>佐賀県佐賀女子短期大学付属佐賀女子高等学校</v>
      </c>
      <c r="AJ133" s="492">
        <v>8902003</v>
      </c>
    </row>
    <row r="134" spans="33:36">
      <c r="AG134" s="492" t="s">
        <v>1029</v>
      </c>
      <c r="AH134" s="492" t="s">
        <v>93</v>
      </c>
      <c r="AI134" s="492" t="str">
        <f t="shared" si="3"/>
        <v>長崎県長崎玉成高等学校</v>
      </c>
      <c r="AJ134" s="492">
        <v>8903009</v>
      </c>
    </row>
    <row r="135" spans="33:36">
      <c r="AG135" s="492" t="s">
        <v>1029</v>
      </c>
      <c r="AH135" s="492" t="s">
        <v>117</v>
      </c>
      <c r="AI135" s="492" t="str">
        <f t="shared" si="3"/>
        <v>長崎県九州文化学園高等学校</v>
      </c>
      <c r="AJ135" s="492">
        <v>8903013</v>
      </c>
    </row>
    <row r="136" spans="33:36">
      <c r="AG136" s="492" t="s">
        <v>1029</v>
      </c>
      <c r="AH136" s="492" t="s">
        <v>94</v>
      </c>
      <c r="AI136" s="492" t="str">
        <f t="shared" si="3"/>
        <v>長崎県向陽高等学校</v>
      </c>
      <c r="AJ136" s="492">
        <v>8903018</v>
      </c>
    </row>
    <row r="137" spans="33:36">
      <c r="AG137" s="492" t="s">
        <v>1030</v>
      </c>
      <c r="AH137" s="492" t="s">
        <v>96</v>
      </c>
      <c r="AI137" s="492" t="str">
        <f t="shared" si="3"/>
        <v>熊本県熊本中央高等学校</v>
      </c>
      <c r="AJ137" s="492">
        <v>8904009</v>
      </c>
    </row>
    <row r="138" spans="33:36">
      <c r="AG138" s="492" t="s">
        <v>1030</v>
      </c>
      <c r="AH138" s="492" t="s">
        <v>97</v>
      </c>
      <c r="AI138" s="492" t="str">
        <f t="shared" si="3"/>
        <v>熊本県玉名女子高等学校</v>
      </c>
      <c r="AJ138" s="492">
        <v>8904018</v>
      </c>
    </row>
    <row r="139" spans="33:36">
      <c r="AG139" s="492" t="s">
        <v>1030</v>
      </c>
      <c r="AH139" s="492" t="s">
        <v>98</v>
      </c>
      <c r="AI139" s="492" t="str">
        <f t="shared" si="3"/>
        <v>熊本県有明高等学校</v>
      </c>
      <c r="AJ139" s="492">
        <v>8904019</v>
      </c>
    </row>
    <row r="140" spans="33:36">
      <c r="AG140" s="492" t="s">
        <v>1030</v>
      </c>
      <c r="AH140" s="492" t="s">
        <v>99</v>
      </c>
      <c r="AI140" s="492" t="str">
        <f t="shared" si="3"/>
        <v>熊本県城北高等学校</v>
      </c>
      <c r="AJ140" s="492">
        <v>8904022</v>
      </c>
    </row>
    <row r="141" spans="33:36">
      <c r="AG141" s="492" t="s">
        <v>1031</v>
      </c>
      <c r="AH141" s="492" t="s">
        <v>100</v>
      </c>
      <c r="AI141" s="492" t="str">
        <f t="shared" si="3"/>
        <v>大分県大分東明高等学校</v>
      </c>
      <c r="AJ141" s="492">
        <v>8905002</v>
      </c>
    </row>
    <row r="142" spans="33:36">
      <c r="AG142" s="492" t="s">
        <v>1031</v>
      </c>
      <c r="AH142" s="492" t="s">
        <v>296</v>
      </c>
      <c r="AI142" s="492" t="str">
        <f t="shared" si="3"/>
        <v>大分県大分高等学校</v>
      </c>
      <c r="AJ142" s="492">
        <v>8905005</v>
      </c>
    </row>
    <row r="143" spans="33:36">
      <c r="AG143" s="492" t="s">
        <v>1031</v>
      </c>
      <c r="AH143" s="492" t="s">
        <v>118</v>
      </c>
      <c r="AI143" s="492" t="str">
        <f t="shared" si="3"/>
        <v>大分県別府溝部学園高等学校</v>
      </c>
      <c r="AJ143" s="492">
        <v>8905006</v>
      </c>
    </row>
    <row r="144" spans="33:36">
      <c r="AG144" s="492" t="s">
        <v>1031</v>
      </c>
      <c r="AH144" s="492" t="s">
        <v>101</v>
      </c>
      <c r="AI144" s="492" t="str">
        <f t="shared" si="3"/>
        <v>大分県昭和学園高等学校</v>
      </c>
      <c r="AJ144" s="492">
        <v>8905009</v>
      </c>
    </row>
    <row r="145" spans="33:36">
      <c r="AG145" s="492" t="s">
        <v>1031</v>
      </c>
      <c r="AH145" s="492" t="s">
        <v>65</v>
      </c>
      <c r="AI145" s="492" t="str">
        <f t="shared" si="3"/>
        <v>大分県明豊高等学校</v>
      </c>
      <c r="AJ145" s="492">
        <v>8905012</v>
      </c>
    </row>
    <row r="146" spans="33:36">
      <c r="AG146" s="492" t="s">
        <v>1031</v>
      </c>
      <c r="AH146" s="492" t="s">
        <v>102</v>
      </c>
      <c r="AI146" s="492" t="str">
        <f t="shared" si="3"/>
        <v>大分県柳ヶ浦高等学校</v>
      </c>
      <c r="AJ146" s="492">
        <v>8905014</v>
      </c>
    </row>
    <row r="147" spans="33:36">
      <c r="AG147" s="492" t="s">
        <v>1032</v>
      </c>
      <c r="AH147" s="492" t="s">
        <v>1949</v>
      </c>
      <c r="AI147" s="492" t="str">
        <f t="shared" si="3"/>
        <v>宮崎県聖心ウルスラ学園高等学校</v>
      </c>
      <c r="AJ147" s="492">
        <v>8906004</v>
      </c>
    </row>
    <row r="148" spans="33:36">
      <c r="AG148" s="492" t="s">
        <v>1032</v>
      </c>
      <c r="AH148" s="492" t="s">
        <v>103</v>
      </c>
      <c r="AI148" s="492" t="str">
        <f t="shared" si="3"/>
        <v>宮崎県鵬翔高等学校</v>
      </c>
      <c r="AJ148" s="492">
        <v>8906006</v>
      </c>
    </row>
    <row r="149" spans="33:36">
      <c r="AG149" s="492" t="s">
        <v>1032</v>
      </c>
      <c r="AH149" s="492" t="s">
        <v>1950</v>
      </c>
      <c r="AI149" s="492" t="str">
        <f t="shared" si="3"/>
        <v>宮崎県櫻美学園高等学校</v>
      </c>
      <c r="AJ149" s="492">
        <v>8906009</v>
      </c>
    </row>
    <row r="150" spans="33:36">
      <c r="AG150" s="492" t="s">
        <v>1032</v>
      </c>
      <c r="AH150" s="492" t="s">
        <v>299</v>
      </c>
      <c r="AI150" s="492" t="str">
        <f t="shared" si="3"/>
        <v>宮崎県日南学園高等学校</v>
      </c>
      <c r="AJ150" s="492">
        <v>8906013</v>
      </c>
    </row>
    <row r="151" spans="33:36">
      <c r="AG151" s="492" t="s">
        <v>1033</v>
      </c>
      <c r="AH151" s="492" t="s">
        <v>105</v>
      </c>
      <c r="AI151" s="492" t="str">
        <f t="shared" si="3"/>
        <v>鹿児島県鹿児島城西高等学校</v>
      </c>
      <c r="AJ151" s="492">
        <v>8907006</v>
      </c>
    </row>
    <row r="152" spans="33:36">
      <c r="AG152" s="492" t="s">
        <v>1033</v>
      </c>
      <c r="AH152" s="492" t="s">
        <v>119</v>
      </c>
      <c r="AI152" s="492" t="str">
        <f t="shared" si="3"/>
        <v>鹿児島県神村学園高等部</v>
      </c>
      <c r="AJ152" s="492">
        <v>8907013</v>
      </c>
    </row>
    <row r="153" spans="33:36">
      <c r="AG153" s="492" t="s">
        <v>1033</v>
      </c>
      <c r="AH153" s="492" t="s">
        <v>106</v>
      </c>
      <c r="AI153" s="492" t="str">
        <f t="shared" si="3"/>
        <v>鹿児島県鳳凰高等学校</v>
      </c>
      <c r="AJ153" s="492">
        <v>8907014</v>
      </c>
    </row>
    <row r="154" spans="33:36">
      <c r="AG154" s="492" t="s">
        <v>1033</v>
      </c>
      <c r="AH154" s="492" t="s">
        <v>107</v>
      </c>
      <c r="AI154" s="492" t="str">
        <f t="shared" si="3"/>
        <v>鹿児島県龍桜高等学校</v>
      </c>
      <c r="AJ154" s="492">
        <v>8907016</v>
      </c>
    </row>
    <row r="155" spans="33:36">
      <c r="AG155" s="492" t="s">
        <v>1033</v>
      </c>
      <c r="AH155" s="492" t="s">
        <v>108</v>
      </c>
      <c r="AI155" s="492" t="str">
        <f t="shared" si="3"/>
        <v>鹿児島県出水中央高等学校</v>
      </c>
      <c r="AJ155" s="492">
        <v>8907017</v>
      </c>
    </row>
    <row r="156" spans="33:36">
      <c r="AG156" s="492" t="s">
        <v>1033</v>
      </c>
      <c r="AH156" s="492" t="s">
        <v>109</v>
      </c>
      <c r="AI156" s="492" t="str">
        <f t="shared" ref="AI156" si="4">AG156&amp;AH156</f>
        <v>鹿児島県尚志館高等学校</v>
      </c>
      <c r="AJ156" s="492">
        <v>8907020</v>
      </c>
    </row>
  </sheetData>
  <sheetProtection algorithmName="SHA-512" hashValue="VnS6pwACgXxz3HZRERu3Cmp6NMES5a641vlJa9FnTx8JS8BoCcLP2jaNgS1XAxiEEgOqe0aaidK/kwuC7+UYhQ==" saltValue="Fgx92vCtKzGRBZvN3g7gPQ==" spinCount="100000" sheet="1" formatCells="0" selectLockedCells="1"/>
  <mergeCells count="254">
    <mergeCell ref="D15:E15"/>
    <mergeCell ref="B9:E9"/>
    <mergeCell ref="G9:T9"/>
    <mergeCell ref="V9:Y9"/>
    <mergeCell ref="G10:H10"/>
    <mergeCell ref="I10:T10"/>
    <mergeCell ref="A12:AE12"/>
    <mergeCell ref="A1:AE1"/>
    <mergeCell ref="A2:AE3"/>
    <mergeCell ref="A4:AE5"/>
    <mergeCell ref="B8:E8"/>
    <mergeCell ref="G8:T8"/>
    <mergeCell ref="V8:Y8"/>
    <mergeCell ref="T26:U26"/>
    <mergeCell ref="W26:X26"/>
    <mergeCell ref="Z26:AA26"/>
    <mergeCell ref="Y29:AB29"/>
    <mergeCell ref="A30:J30"/>
    <mergeCell ref="K30:R30"/>
    <mergeCell ref="S30:AB30"/>
    <mergeCell ref="F15:P15"/>
    <mergeCell ref="A18:AE18"/>
    <mergeCell ref="H20:I20"/>
    <mergeCell ref="J21:AE22"/>
    <mergeCell ref="T23:AB23"/>
    <mergeCell ref="T24:V25"/>
    <mergeCell ref="W25:Y25"/>
    <mergeCell ref="Z25:AB25"/>
    <mergeCell ref="A13:C15"/>
    <mergeCell ref="D13:E13"/>
    <mergeCell ref="F13:P13"/>
    <mergeCell ref="Q13:S13"/>
    <mergeCell ref="T13:AE13"/>
    <mergeCell ref="D14:E14"/>
    <mergeCell ref="F14:P14"/>
    <mergeCell ref="Q14:S15"/>
    <mergeCell ref="T14:AE15"/>
    <mergeCell ref="AA31:AB32"/>
    <mergeCell ref="B32:E32"/>
    <mergeCell ref="F32:G32"/>
    <mergeCell ref="H32:J32"/>
    <mergeCell ref="AD32:AE32"/>
    <mergeCell ref="A33:A34"/>
    <mergeCell ref="B33:E34"/>
    <mergeCell ref="F33:G34"/>
    <mergeCell ref="H33:I34"/>
    <mergeCell ref="K33:L34"/>
    <mergeCell ref="AD30:AE31"/>
    <mergeCell ref="B31:J31"/>
    <mergeCell ref="K31:L32"/>
    <mergeCell ref="M31:N32"/>
    <mergeCell ref="O31:P32"/>
    <mergeCell ref="Q31:R32"/>
    <mergeCell ref="S31:T32"/>
    <mergeCell ref="U31:V32"/>
    <mergeCell ref="W31:X32"/>
    <mergeCell ref="Y31:Z32"/>
    <mergeCell ref="A35:A36"/>
    <mergeCell ref="B35:E36"/>
    <mergeCell ref="F35:G36"/>
    <mergeCell ref="H35:I36"/>
    <mergeCell ref="K35:L36"/>
    <mergeCell ref="M35:N36"/>
    <mergeCell ref="Y33:Z33"/>
    <mergeCell ref="AA33:AB33"/>
    <mergeCell ref="S34:T34"/>
    <mergeCell ref="U34:V34"/>
    <mergeCell ref="W34:X34"/>
    <mergeCell ref="Y34:Z34"/>
    <mergeCell ref="AA34:AB34"/>
    <mergeCell ref="M33:N34"/>
    <mergeCell ref="O33:P34"/>
    <mergeCell ref="Q33:R34"/>
    <mergeCell ref="S33:T33"/>
    <mergeCell ref="U33:V33"/>
    <mergeCell ref="W33:X33"/>
    <mergeCell ref="AA35:AB35"/>
    <mergeCell ref="S36:T36"/>
    <mergeCell ref="U36:V36"/>
    <mergeCell ref="W36:X36"/>
    <mergeCell ref="Y36:Z36"/>
    <mergeCell ref="AA36:AB36"/>
    <mergeCell ref="O35:P36"/>
    <mergeCell ref="Q35:R36"/>
    <mergeCell ref="S35:T35"/>
    <mergeCell ref="U35:V35"/>
    <mergeCell ref="W35:X35"/>
    <mergeCell ref="Y35:Z35"/>
    <mergeCell ref="A39:A40"/>
    <mergeCell ref="B39:E40"/>
    <mergeCell ref="F39:G40"/>
    <mergeCell ref="H39:I40"/>
    <mergeCell ref="K39:L40"/>
    <mergeCell ref="M39:N40"/>
    <mergeCell ref="AA37:AB37"/>
    <mergeCell ref="S38:T38"/>
    <mergeCell ref="U38:V38"/>
    <mergeCell ref="W38:X38"/>
    <mergeCell ref="Y38:Z38"/>
    <mergeCell ref="AA38:AB38"/>
    <mergeCell ref="O37:P38"/>
    <mergeCell ref="Q37:R38"/>
    <mergeCell ref="S37:T37"/>
    <mergeCell ref="U37:V37"/>
    <mergeCell ref="W37:X37"/>
    <mergeCell ref="Y37:Z37"/>
    <mergeCell ref="A37:A38"/>
    <mergeCell ref="B37:E38"/>
    <mergeCell ref="F37:G38"/>
    <mergeCell ref="H37:I38"/>
    <mergeCell ref="K37:L38"/>
    <mergeCell ref="M37:N38"/>
    <mergeCell ref="AA39:AB39"/>
    <mergeCell ref="S40:T40"/>
    <mergeCell ref="U40:V40"/>
    <mergeCell ref="W40:X40"/>
    <mergeCell ref="Y40:Z40"/>
    <mergeCell ref="AA40:AB40"/>
    <mergeCell ref="O39:P40"/>
    <mergeCell ref="Q39:R40"/>
    <mergeCell ref="S39:T39"/>
    <mergeCell ref="U39:V39"/>
    <mergeCell ref="W39:X39"/>
    <mergeCell ref="Y39:Z39"/>
    <mergeCell ref="A41:B41"/>
    <mergeCell ref="C41:AB41"/>
    <mergeCell ref="A42:B42"/>
    <mergeCell ref="C42:AB42"/>
    <mergeCell ref="Y45:AE46"/>
    <mergeCell ref="B46:D46"/>
    <mergeCell ref="E46:F46"/>
    <mergeCell ref="H46:J46"/>
    <mergeCell ref="K46:L46"/>
    <mergeCell ref="N46:P46"/>
    <mergeCell ref="A51:I51"/>
    <mergeCell ref="AB51:AE51"/>
    <mergeCell ref="A52:F52"/>
    <mergeCell ref="H52:J52"/>
    <mergeCell ref="M52:O52"/>
    <mergeCell ref="R52:T52"/>
    <mergeCell ref="W52:Y52"/>
    <mergeCell ref="AA52:AE52"/>
    <mergeCell ref="Q46:R46"/>
    <mergeCell ref="T46:V46"/>
    <mergeCell ref="W46:X46"/>
    <mergeCell ref="A47:B47"/>
    <mergeCell ref="C47:AE47"/>
    <mergeCell ref="C48:AE48"/>
    <mergeCell ref="AA53:AE56"/>
    <mergeCell ref="A54:C54"/>
    <mergeCell ref="D54:E54"/>
    <mergeCell ref="G54:K54"/>
    <mergeCell ref="L54:P54"/>
    <mergeCell ref="Q54:U54"/>
    <mergeCell ref="V54:Z54"/>
    <mergeCell ref="A55:C55"/>
    <mergeCell ref="D55:E55"/>
    <mergeCell ref="G55:K55"/>
    <mergeCell ref="A53:C53"/>
    <mergeCell ref="D53:E53"/>
    <mergeCell ref="G53:K53"/>
    <mergeCell ref="L53:P53"/>
    <mergeCell ref="Q53:U53"/>
    <mergeCell ref="V53:Z53"/>
    <mergeCell ref="A60:N60"/>
    <mergeCell ref="A61:F61"/>
    <mergeCell ref="H61:J61"/>
    <mergeCell ref="M61:O61"/>
    <mergeCell ref="R61:T61"/>
    <mergeCell ref="W61:Y61"/>
    <mergeCell ref="L55:P55"/>
    <mergeCell ref="Q55:U55"/>
    <mergeCell ref="V55:Z55"/>
    <mergeCell ref="A56:C56"/>
    <mergeCell ref="D56:E56"/>
    <mergeCell ref="G56:K56"/>
    <mergeCell ref="L56:P56"/>
    <mergeCell ref="Q56:U56"/>
    <mergeCell ref="V56:Z56"/>
    <mergeCell ref="A62:B69"/>
    <mergeCell ref="C62:F62"/>
    <mergeCell ref="G62:J62"/>
    <mergeCell ref="L62:O62"/>
    <mergeCell ref="Q62:T62"/>
    <mergeCell ref="V62:Y62"/>
    <mergeCell ref="AA62:AE75"/>
    <mergeCell ref="C63:F63"/>
    <mergeCell ref="G63:J63"/>
    <mergeCell ref="L63:O63"/>
    <mergeCell ref="Q63:T63"/>
    <mergeCell ref="V63:Y63"/>
    <mergeCell ref="C64:F64"/>
    <mergeCell ref="G64:J64"/>
    <mergeCell ref="L64:O64"/>
    <mergeCell ref="Q64:T64"/>
    <mergeCell ref="V64:Y64"/>
    <mergeCell ref="C67:F67"/>
    <mergeCell ref="G67:J67"/>
    <mergeCell ref="L67:O67"/>
    <mergeCell ref="Q67:T67"/>
    <mergeCell ref="V67:Y67"/>
    <mergeCell ref="C68:F68"/>
    <mergeCell ref="G68:J68"/>
    <mergeCell ref="AA61:AE61"/>
    <mergeCell ref="C65:F65"/>
    <mergeCell ref="G65:J65"/>
    <mergeCell ref="L65:O65"/>
    <mergeCell ref="Q65:T65"/>
    <mergeCell ref="V65:Y65"/>
    <mergeCell ref="C66:F66"/>
    <mergeCell ref="G66:J66"/>
    <mergeCell ref="L66:O66"/>
    <mergeCell ref="Q66:T66"/>
    <mergeCell ref="V66:Y66"/>
    <mergeCell ref="L68:O68"/>
    <mergeCell ref="Q68:T68"/>
    <mergeCell ref="V68:Y68"/>
    <mergeCell ref="V70:Y70"/>
    <mergeCell ref="C71:F71"/>
    <mergeCell ref="G71:J71"/>
    <mergeCell ref="L71:O71"/>
    <mergeCell ref="Q71:T71"/>
    <mergeCell ref="V71:Y71"/>
    <mergeCell ref="C69:F69"/>
    <mergeCell ref="G69:J69"/>
    <mergeCell ref="L69:O69"/>
    <mergeCell ref="Q69:T69"/>
    <mergeCell ref="V69:Y69"/>
    <mergeCell ref="C70:F70"/>
    <mergeCell ref="G70:J70"/>
    <mergeCell ref="L70:O70"/>
    <mergeCell ref="Q70:T70"/>
    <mergeCell ref="C72:F72"/>
    <mergeCell ref="G72:J72"/>
    <mergeCell ref="L72:O72"/>
    <mergeCell ref="Q72:T72"/>
    <mergeCell ref="V72:Y72"/>
    <mergeCell ref="A73:B75"/>
    <mergeCell ref="C73:F73"/>
    <mergeCell ref="G73:J73"/>
    <mergeCell ref="L73:O73"/>
    <mergeCell ref="Q73:T73"/>
    <mergeCell ref="A70:B72"/>
    <mergeCell ref="C75:F75"/>
    <mergeCell ref="G75:J75"/>
    <mergeCell ref="L75:O75"/>
    <mergeCell ref="Q75:T75"/>
    <mergeCell ref="V75:Y75"/>
    <mergeCell ref="V73:Y73"/>
    <mergeCell ref="C74:F74"/>
    <mergeCell ref="G74:J74"/>
    <mergeCell ref="L74:O74"/>
    <mergeCell ref="Q74:T74"/>
    <mergeCell ref="V74:Y74"/>
  </mergeCells>
  <phoneticPr fontId="15"/>
  <conditionalFormatting sqref="B46:D46 H46:J46 N46:P46 T46:V46">
    <cfRule type="containsBlanks" dxfId="67" priority="59">
      <formula>LEN(TRIM(B46))=0</formula>
    </cfRule>
  </conditionalFormatting>
  <conditionalFormatting sqref="B46:D46">
    <cfRule type="expression" dxfId="66" priority="58">
      <formula>$B$33&lt;&gt;"その他※"</formula>
    </cfRule>
  </conditionalFormatting>
  <conditionalFormatting sqref="B9:E9">
    <cfRule type="expression" dxfId="65" priority="6">
      <formula>$B$9="最初に選択してください"</formula>
    </cfRule>
  </conditionalFormatting>
  <conditionalFormatting sqref="B33:I40">
    <cfRule type="cellIs" dxfId="64" priority="76" operator="equal">
      <formula>"選択↓"</formula>
    </cfRule>
  </conditionalFormatting>
  <conditionalFormatting sqref="F33:I34 K33:R34 U33:Z34">
    <cfRule type="expression" dxfId="63" priority="66">
      <formula>$B$33="選択↓"</formula>
    </cfRule>
  </conditionalFormatting>
  <conditionalFormatting sqref="F35:I36 K35:R36 U35:Z36">
    <cfRule type="expression" dxfId="62" priority="64">
      <formula>$B$35="選択↓"</formula>
    </cfRule>
  </conditionalFormatting>
  <conditionalFormatting sqref="F37:I38 K37:R38 U37:Z38">
    <cfRule type="expression" dxfId="61" priority="62">
      <formula>$B$37="選択↓"</formula>
    </cfRule>
  </conditionalFormatting>
  <conditionalFormatting sqref="F39:I40 K39:R40 U39:Z40">
    <cfRule type="expression" dxfId="60" priority="60">
      <formula>$B$39="選択↓"</formula>
    </cfRule>
  </conditionalFormatting>
  <conditionalFormatting sqref="G62:J68 G70:J71 G73:J74 L62:O68 L70:O71 L73:O74 Q62:T68 Q70:T71 Q73:T74 V62:Y68 V70:Y71 V73:Y74">
    <cfRule type="containsBlanks" dxfId="59" priority="24">
      <formula>LEN(TRIM(G62))=0</formula>
    </cfRule>
  </conditionalFormatting>
  <conditionalFormatting sqref="G62:J68">
    <cfRule type="expression" dxfId="58" priority="19">
      <formula>$U$34=0</formula>
    </cfRule>
  </conditionalFormatting>
  <conditionalFormatting sqref="G70:J71">
    <cfRule type="expression" dxfId="57" priority="18">
      <formula>$W$34=0</formula>
    </cfRule>
  </conditionalFormatting>
  <conditionalFormatting sqref="G73:J74">
    <cfRule type="expression" dxfId="56" priority="17">
      <formula>$Y$34=0</formula>
    </cfRule>
  </conditionalFormatting>
  <conditionalFormatting sqref="G54:K54">
    <cfRule type="expression" dxfId="55" priority="47">
      <formula>$U$34=0</formula>
    </cfRule>
  </conditionalFormatting>
  <conditionalFormatting sqref="G55:K55">
    <cfRule type="expression" dxfId="54" priority="46">
      <formula>$W$34=0</formula>
    </cfRule>
  </conditionalFormatting>
  <conditionalFormatting sqref="G56:K56">
    <cfRule type="expression" dxfId="53" priority="45">
      <formula>$Y$34=0</formula>
    </cfRule>
  </conditionalFormatting>
  <conditionalFormatting sqref="G9:T9 B9:E9 F13:P15 T13:AE15">
    <cfRule type="containsBlanks" dxfId="52" priority="7">
      <formula>LEN(TRIM(B9))=0</formula>
    </cfRule>
  </conditionalFormatting>
  <conditionalFormatting sqref="G9:T10">
    <cfRule type="expression" dxfId="51" priority="1">
      <formula>OR($B$9="最初に選択してください",$B$9="")</formula>
    </cfRule>
  </conditionalFormatting>
  <conditionalFormatting sqref="G54:Z56">
    <cfRule type="containsBlanks" dxfId="50" priority="52">
      <formula>LEN(TRIM(G54))=0</formula>
    </cfRule>
  </conditionalFormatting>
  <conditionalFormatting sqref="H46:J46">
    <cfRule type="expression" dxfId="49" priority="57">
      <formula>$B$35&lt;&gt;"その他※"</formula>
    </cfRule>
  </conditionalFormatting>
  <conditionalFormatting sqref="H52:J52 G54:K56">
    <cfRule type="expression" dxfId="48" priority="44">
      <formula>$B$33="選択↓"</formula>
    </cfRule>
  </conditionalFormatting>
  <conditionalFormatting sqref="H52:J52">
    <cfRule type="expression" dxfId="47" priority="51">
      <formula>$H$52="↑専攻科名が未記入"</formula>
    </cfRule>
  </conditionalFormatting>
  <conditionalFormatting sqref="H61:J61">
    <cfRule type="expression" dxfId="46" priority="23">
      <formula>$B$33="選択↓"</formula>
    </cfRule>
    <cfRule type="expression" dxfId="45" priority="28">
      <formula>$H$61="↑専攻科名が未記入"</formula>
    </cfRule>
  </conditionalFormatting>
  <conditionalFormatting sqref="L62:O68">
    <cfRule type="expression" dxfId="44" priority="16">
      <formula>$U$36=0</formula>
    </cfRule>
  </conditionalFormatting>
  <conditionalFormatting sqref="L70:O71">
    <cfRule type="expression" dxfId="43" priority="15">
      <formula>$W$36=0</formula>
    </cfRule>
  </conditionalFormatting>
  <conditionalFormatting sqref="L73:O74">
    <cfRule type="expression" dxfId="42" priority="14">
      <formula>$Y$36=0</formula>
    </cfRule>
  </conditionalFormatting>
  <conditionalFormatting sqref="L54:P54">
    <cfRule type="expression" dxfId="41" priority="43">
      <formula>$U$36=0</formula>
    </cfRule>
  </conditionalFormatting>
  <conditionalFormatting sqref="L55:P55">
    <cfRule type="expression" dxfId="40" priority="42">
      <formula>$W$36=0</formula>
    </cfRule>
  </conditionalFormatting>
  <conditionalFormatting sqref="L56:P56">
    <cfRule type="expression" dxfId="39" priority="41">
      <formula>$Y$36=0</formula>
    </cfRule>
  </conditionalFormatting>
  <conditionalFormatting sqref="M52:O52 L54:P56">
    <cfRule type="expression" dxfId="38" priority="40">
      <formula>$B$35="選択↓"</formula>
    </cfRule>
  </conditionalFormatting>
  <conditionalFormatting sqref="M52:O52">
    <cfRule type="expression" dxfId="37" priority="50">
      <formula>$M$52="↑専攻科名が未記入"</formula>
    </cfRule>
  </conditionalFormatting>
  <conditionalFormatting sqref="M61:O61">
    <cfRule type="expression" dxfId="36" priority="22">
      <formula>$B$35="選択↓"</formula>
    </cfRule>
    <cfRule type="expression" dxfId="35" priority="27">
      <formula>$M$61="↑専攻科名が未記入"</formula>
    </cfRule>
  </conditionalFormatting>
  <conditionalFormatting sqref="N46:P46">
    <cfRule type="expression" dxfId="34" priority="56">
      <formula>$B$37&lt;&gt;"その他※"</formula>
    </cfRule>
  </conditionalFormatting>
  <conditionalFormatting sqref="Q62:T68">
    <cfRule type="expression" dxfId="33" priority="13">
      <formula>$U$38=0</formula>
    </cfRule>
  </conditionalFormatting>
  <conditionalFormatting sqref="Q70:T71">
    <cfRule type="expression" dxfId="32" priority="12">
      <formula>$W$38=0</formula>
    </cfRule>
  </conditionalFormatting>
  <conditionalFormatting sqref="Q73:T74">
    <cfRule type="expression" dxfId="31" priority="11">
      <formula>$Y$38=0</formula>
    </cfRule>
  </conditionalFormatting>
  <conditionalFormatting sqref="Q54:U54">
    <cfRule type="expression" dxfId="30" priority="39">
      <formula>$U$38=0</formula>
    </cfRule>
  </conditionalFormatting>
  <conditionalFormatting sqref="Q55:U55">
    <cfRule type="expression" dxfId="29" priority="38">
      <formula>$W$38=0</formula>
    </cfRule>
  </conditionalFormatting>
  <conditionalFormatting sqref="Q56:U56">
    <cfRule type="expression" dxfId="28" priority="37">
      <formula>$Y$38=0</formula>
    </cfRule>
  </conditionalFormatting>
  <conditionalFormatting sqref="R52:T52 Q54:U56">
    <cfRule type="expression" dxfId="27" priority="36">
      <formula>$B$37="選択↓"</formula>
    </cfRule>
  </conditionalFormatting>
  <conditionalFormatting sqref="R52:T52">
    <cfRule type="expression" dxfId="26" priority="49">
      <formula>$R$52="↑専攻科名が未記入"</formula>
    </cfRule>
  </conditionalFormatting>
  <conditionalFormatting sqref="R61:T61">
    <cfRule type="expression" dxfId="25" priority="26">
      <formula>$R$61="↑専攻科名が未記入"</formula>
    </cfRule>
    <cfRule type="expression" dxfId="24" priority="21">
      <formula>$B$37="選択↓"</formula>
    </cfRule>
  </conditionalFormatting>
  <conditionalFormatting sqref="T46:V46">
    <cfRule type="expression" dxfId="23" priority="55">
      <formula>$B$39&lt;&gt;"その他※"</formula>
    </cfRule>
  </conditionalFormatting>
  <conditionalFormatting sqref="U33:Z40 K33:R40">
    <cfRule type="containsBlanks" dxfId="22" priority="72">
      <formula>LEN(TRIM(K33))=0</formula>
    </cfRule>
  </conditionalFormatting>
  <conditionalFormatting sqref="V62:Y68">
    <cfRule type="expression" dxfId="21" priority="10">
      <formula>$U$40=0</formula>
    </cfRule>
  </conditionalFormatting>
  <conditionalFormatting sqref="V70:Y71">
    <cfRule type="expression" dxfId="20" priority="9">
      <formula>$W$40=0</formula>
    </cfRule>
  </conditionalFormatting>
  <conditionalFormatting sqref="V73:Y74">
    <cfRule type="expression" dxfId="19" priority="8">
      <formula>$Y$40=0</formula>
    </cfRule>
  </conditionalFormatting>
  <conditionalFormatting sqref="V54:Z54">
    <cfRule type="expression" dxfId="18" priority="35">
      <formula>$U$40=0</formula>
    </cfRule>
  </conditionalFormatting>
  <conditionalFormatting sqref="V55:Z55">
    <cfRule type="expression" dxfId="17" priority="34">
      <formula>$W$40=0</formula>
    </cfRule>
  </conditionalFormatting>
  <conditionalFormatting sqref="V56:Z56">
    <cfRule type="expression" dxfId="16" priority="33">
      <formula>$Y$40=0</formula>
    </cfRule>
  </conditionalFormatting>
  <conditionalFormatting sqref="W26:X26 Z26:AA26 A25">
    <cfRule type="containsBlanks" dxfId="15" priority="82">
      <formula>LEN(TRIM(A25))=0</formula>
    </cfRule>
  </conditionalFormatting>
  <conditionalFormatting sqref="W26:X26">
    <cfRule type="expression" dxfId="14" priority="54">
      <formula>$A$25=2</formula>
    </cfRule>
  </conditionalFormatting>
  <conditionalFormatting sqref="W33:X34">
    <cfRule type="expression" dxfId="13" priority="71">
      <formula>$H$33&lt;2</formula>
    </cfRule>
  </conditionalFormatting>
  <conditionalFormatting sqref="W35:X36">
    <cfRule type="expression" dxfId="12" priority="70">
      <formula>$H$35&lt;2</formula>
    </cfRule>
  </conditionalFormatting>
  <conditionalFormatting sqref="W37:X38">
    <cfRule type="expression" dxfId="11" priority="69">
      <formula>$H$37&lt;2</formula>
    </cfRule>
  </conditionalFormatting>
  <conditionalFormatting sqref="W39:X40">
    <cfRule type="expression" dxfId="10" priority="68">
      <formula>$H$39&lt;2</formula>
    </cfRule>
  </conditionalFormatting>
  <conditionalFormatting sqref="W52:Y52 V54:Z56">
    <cfRule type="expression" dxfId="9" priority="32">
      <formula>$B$39="選択↓"</formula>
    </cfRule>
  </conditionalFormatting>
  <conditionalFormatting sqref="W52:Y52">
    <cfRule type="expression" dxfId="8" priority="48">
      <formula>$W$52="↑専攻科名が未記入"</formula>
    </cfRule>
  </conditionalFormatting>
  <conditionalFormatting sqref="W61:Y61">
    <cfRule type="expression" dxfId="7" priority="25">
      <formula>$W$61="↑専攻科名が未記入"</formula>
    </cfRule>
    <cfRule type="expression" dxfId="6" priority="20">
      <formula>$B$39="選択↓"</formula>
    </cfRule>
  </conditionalFormatting>
  <conditionalFormatting sqref="Y33:Z34">
    <cfRule type="expression" dxfId="5" priority="67">
      <formula>$H$33&lt;3</formula>
    </cfRule>
  </conditionalFormatting>
  <conditionalFormatting sqref="Y35:Z36">
    <cfRule type="expression" dxfId="4" priority="65">
      <formula>$H$35&lt;3</formula>
    </cfRule>
  </conditionalFormatting>
  <conditionalFormatting sqref="Y37:Z38">
    <cfRule type="expression" dxfId="3" priority="63">
      <formula>$H$37&lt;3</formula>
    </cfRule>
  </conditionalFormatting>
  <conditionalFormatting sqref="Y39:Z40">
    <cfRule type="expression" dxfId="2" priority="61">
      <formula>$H$39&lt;3</formula>
    </cfRule>
  </conditionalFormatting>
  <conditionalFormatting sqref="Z26:AA26">
    <cfRule type="expression" dxfId="1" priority="53">
      <formula>$A$25=1</formula>
    </cfRule>
  </conditionalFormatting>
  <conditionalFormatting sqref="AF1:AF1048576">
    <cfRule type="notContainsBlanks" dxfId="0" priority="2">
      <formula>LEN(TRIM(AF1))&gt;0</formula>
    </cfRule>
  </conditionalFormatting>
  <dataValidations count="8">
    <dataValidation type="list" allowBlank="1" showInputMessage="1" showErrorMessage="1" promptTitle="①都道府県名を選択したうえで、本欄を選択してください" prompt="校名変更等がある場合も、本欄で旧学校名を選択したうえで、下の訂正・変更欄に正しい校名を入力してください" sqref="G9:T9" xr:uid="{AFC4B40F-37D7-4C69-8565-D1A7E09070BC}">
      <formula1>INDIRECT($B$9)</formula1>
    </dataValidation>
    <dataValidation type="list" allowBlank="1" showInputMessage="1" showErrorMessage="1" sqref="B9:E9" xr:uid="{9AA7C4EA-2446-44E2-A408-D5336855BF4A}">
      <formula1>"最初に選択してください,青森県,岩手県,山形県,福島県,新潟県,茨城県,東京都,福井県,静岡県,愛知県,三重県,滋賀県,京都府,大阪府,奈良県,鳥取県,岡山県,広島県,山口県,香川県,愛媛県,高知県,福岡県,佐賀県,長崎県,熊本県,大分県,宮崎県,鹿児島県"</formula1>
    </dataValidation>
    <dataValidation type="list" allowBlank="1" showInputMessage="1" showErrorMessage="1" sqref="H39 H37 H35 H33" xr:uid="{400BFDEF-FCCE-4B7E-9BF4-BC9812F21BC0}">
      <formula1>"選択↓,1,2,3"</formula1>
    </dataValidation>
    <dataValidation type="list" allowBlank="1" showInputMessage="1" showErrorMessage="1" sqref="B33:E40" xr:uid="{0DAEB119-84BF-429A-AF82-4F112D4C2F2D}">
      <formula1>"選択↓,自動車,看護（２年課程）,看護（５年一貫）,農業,福祉,保育,その他※"</formula1>
    </dataValidation>
    <dataValidation type="list" allowBlank="1" showInputMessage="1" showErrorMessage="1" sqref="F35 F37 F39 F33" xr:uid="{EF46ABCD-2FE2-4F4D-BC20-326DA6D593A6}">
      <formula1>"選択↓,全日制,定時制,通信制"</formula1>
    </dataValidation>
    <dataValidation type="list" allowBlank="1" showInputMessage="1" showErrorMessage="1" sqref="H25" xr:uid="{720F0BA8-3144-469A-B0F2-74E7D44C65D4}">
      <formula1>"　,4"</formula1>
    </dataValidation>
    <dataValidation type="list" allowBlank="1" showInputMessage="1" showErrorMessage="1" sqref="A25" xr:uid="{72E423FE-13B9-4FBC-85DA-C8CC32F138AE}">
      <formula1>$AO$90:$AO$93</formula1>
    </dataValidation>
    <dataValidation imeMode="fullKatakana" allowBlank="1" showInputMessage="1" showErrorMessage="1" sqref="F14:P14" xr:uid="{93164984-92AF-4EB5-AE4D-EF56433C9846}"/>
  </dataValidations>
  <pageMargins left="0.70866141732283472" right="0.70866141732283472" top="0.74803149606299213" bottom="0.74803149606299213" header="0.31496062992125984" footer="0.31496062992125984"/>
  <pageSetup paperSize="9" scale="93" orientation="portrait" r:id="rId1"/>
  <headerFooter>
    <oddFooter>&amp;C&amp;"ＭＳ Ｐゴシック,標準"&amp;10&amp;P</oddFooter>
  </headerFooter>
  <rowBreaks count="1" manualBreakCount="1">
    <brk id="49" max="30" man="1"/>
  </rowBreaks>
  <colBreaks count="1" manualBreakCount="1">
    <brk id="31"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39809-BC4C-4342-8A06-D629E20D7C2C}">
  <sheetPr codeName="Sheet4"/>
  <dimension ref="A1:I69"/>
  <sheetViews>
    <sheetView topLeftCell="A28" workbookViewId="0">
      <selection activeCell="E63" sqref="E63"/>
    </sheetView>
  </sheetViews>
  <sheetFormatPr defaultRowHeight="10.5"/>
  <cols>
    <col min="3" max="4" width="38" customWidth="1"/>
    <col min="9" max="9" width="56.5" customWidth="1"/>
  </cols>
  <sheetData>
    <row r="1" spans="1:9" ht="39" customHeight="1">
      <c r="B1" s="141" t="s">
        <v>344</v>
      </c>
      <c r="C1" s="140" t="s">
        <v>389</v>
      </c>
      <c r="D1" s="140" t="s">
        <v>1146</v>
      </c>
      <c r="E1" s="142" t="s">
        <v>388</v>
      </c>
      <c r="F1" s="97" t="s">
        <v>1049</v>
      </c>
      <c r="G1" s="97" t="s">
        <v>1050</v>
      </c>
      <c r="H1" s="94" t="s">
        <v>390</v>
      </c>
      <c r="I1" s="139" t="s">
        <v>1144</v>
      </c>
    </row>
    <row r="2" spans="1:9" s="98" customFormat="1" ht="12">
      <c r="A2" s="98">
        <v>2</v>
      </c>
      <c r="B2" s="102" t="s">
        <v>992</v>
      </c>
      <c r="C2" s="102" t="s">
        <v>126</v>
      </c>
      <c r="D2" s="102" t="s">
        <v>1037</v>
      </c>
      <c r="E2" s="102">
        <v>201002</v>
      </c>
      <c r="F2" s="101">
        <v>1</v>
      </c>
      <c r="G2" s="101" t="s">
        <v>371</v>
      </c>
      <c r="H2" s="103" t="s">
        <v>423</v>
      </c>
      <c r="I2" s="102" t="s">
        <v>1091</v>
      </c>
    </row>
    <row r="3" spans="1:9" s="98" customFormat="1" ht="12">
      <c r="A3" s="98">
        <v>3</v>
      </c>
      <c r="B3" s="102" t="s">
        <v>992</v>
      </c>
      <c r="C3" s="102" t="s">
        <v>70</v>
      </c>
      <c r="D3" s="102" t="s">
        <v>1147</v>
      </c>
      <c r="E3" s="102">
        <v>201007</v>
      </c>
      <c r="F3" s="101" t="s">
        <v>371</v>
      </c>
      <c r="G3" s="101">
        <v>1</v>
      </c>
      <c r="H3" s="103" t="s">
        <v>425</v>
      </c>
      <c r="I3" s="105" t="s">
        <v>1092</v>
      </c>
    </row>
    <row r="4" spans="1:9" s="98" customFormat="1" ht="12">
      <c r="A4" s="98">
        <v>1</v>
      </c>
      <c r="B4" s="102" t="s">
        <v>992</v>
      </c>
      <c r="C4" s="102" t="s">
        <v>125</v>
      </c>
      <c r="D4" s="102" t="s">
        <v>1036</v>
      </c>
      <c r="E4" s="102">
        <v>201001</v>
      </c>
      <c r="F4" s="101" t="s">
        <v>371</v>
      </c>
      <c r="G4" s="101">
        <v>1</v>
      </c>
      <c r="H4" s="103" t="s">
        <v>422</v>
      </c>
      <c r="I4" s="102" t="s">
        <v>1090</v>
      </c>
    </row>
    <row r="5" spans="1:9" s="98" customFormat="1" ht="12">
      <c r="A5" s="98">
        <v>4</v>
      </c>
      <c r="B5" s="102" t="s">
        <v>993</v>
      </c>
      <c r="C5" s="102" t="s">
        <v>71</v>
      </c>
      <c r="D5" s="102" t="s">
        <v>1148</v>
      </c>
      <c r="E5" s="102">
        <v>202002</v>
      </c>
      <c r="F5" s="101" t="s">
        <v>371</v>
      </c>
      <c r="G5" s="101">
        <v>1</v>
      </c>
      <c r="H5" s="103" t="s">
        <v>430</v>
      </c>
      <c r="I5" s="102" t="s">
        <v>1093</v>
      </c>
    </row>
    <row r="6" spans="1:9" s="98" customFormat="1" ht="12">
      <c r="A6" s="98">
        <v>6</v>
      </c>
      <c r="B6" s="102" t="s">
        <v>993</v>
      </c>
      <c r="C6" s="102" t="s">
        <v>437</v>
      </c>
      <c r="D6" s="102" t="s">
        <v>1149</v>
      </c>
      <c r="E6" s="107">
        <v>202990</v>
      </c>
      <c r="F6" s="101" t="s">
        <v>371</v>
      </c>
      <c r="G6" s="101">
        <v>1</v>
      </c>
      <c r="H6" s="103" t="s">
        <v>438</v>
      </c>
      <c r="I6" s="102" t="s">
        <v>1094</v>
      </c>
    </row>
    <row r="7" spans="1:9" s="98" customFormat="1" ht="12">
      <c r="A7" s="98">
        <v>9</v>
      </c>
      <c r="B7" s="102" t="s">
        <v>996</v>
      </c>
      <c r="C7" s="102" t="s">
        <v>72</v>
      </c>
      <c r="D7" s="102" t="s">
        <v>1150</v>
      </c>
      <c r="E7" s="102">
        <v>205004</v>
      </c>
      <c r="F7" s="101" t="s">
        <v>371</v>
      </c>
      <c r="G7" s="101">
        <v>1</v>
      </c>
      <c r="H7" s="103" t="s">
        <v>456</v>
      </c>
      <c r="I7" s="102" t="s">
        <v>1095</v>
      </c>
    </row>
    <row r="8" spans="1:9" s="98" customFormat="1" ht="13.5">
      <c r="A8" s="98">
        <v>11</v>
      </c>
      <c r="B8" s="102" t="s">
        <v>997</v>
      </c>
      <c r="C8" s="102" t="s">
        <v>73</v>
      </c>
      <c r="D8" s="102" t="s">
        <v>1151</v>
      </c>
      <c r="E8" s="102">
        <v>206017</v>
      </c>
      <c r="F8" s="101" t="s">
        <v>371</v>
      </c>
      <c r="G8" s="101">
        <v>1</v>
      </c>
      <c r="H8" s="103" t="s">
        <v>464</v>
      </c>
      <c r="I8" s="149" t="s">
        <v>1097</v>
      </c>
    </row>
    <row r="9" spans="1:9" s="98" customFormat="1" ht="12">
      <c r="A9" s="98">
        <v>10</v>
      </c>
      <c r="B9" s="102" t="s">
        <v>997</v>
      </c>
      <c r="C9" s="102" t="s">
        <v>141</v>
      </c>
      <c r="D9" s="102" t="s">
        <v>1152</v>
      </c>
      <c r="E9" s="102">
        <v>206005</v>
      </c>
      <c r="F9" s="101" t="s">
        <v>371</v>
      </c>
      <c r="G9" s="101">
        <v>1</v>
      </c>
      <c r="H9" s="103" t="s">
        <v>462</v>
      </c>
      <c r="I9" s="102" t="s">
        <v>1096</v>
      </c>
    </row>
    <row r="10" spans="1:9" s="98" customFormat="1" ht="12">
      <c r="A10" s="98">
        <v>12</v>
      </c>
      <c r="B10" s="102" t="s">
        <v>998</v>
      </c>
      <c r="C10" s="102" t="s">
        <v>74</v>
      </c>
      <c r="D10" s="102" t="s">
        <v>1153</v>
      </c>
      <c r="E10" s="102">
        <v>207010</v>
      </c>
      <c r="F10" s="101">
        <v>1</v>
      </c>
      <c r="G10" s="101" t="s">
        <v>371</v>
      </c>
      <c r="H10" s="103" t="s">
        <v>472</v>
      </c>
      <c r="I10" s="102" t="s">
        <v>1098</v>
      </c>
    </row>
    <row r="11" spans="1:9" s="98" customFormat="1" ht="12">
      <c r="A11" s="98">
        <v>1</v>
      </c>
      <c r="B11" s="102" t="s">
        <v>998</v>
      </c>
      <c r="C11" s="102" t="s">
        <v>477</v>
      </c>
      <c r="D11" s="102" t="s">
        <v>1038</v>
      </c>
      <c r="E11" s="102">
        <v>207018</v>
      </c>
      <c r="F11" s="101" t="s">
        <v>371</v>
      </c>
      <c r="G11" s="101">
        <v>1</v>
      </c>
      <c r="H11" s="103" t="s">
        <v>478</v>
      </c>
      <c r="I11" s="102"/>
    </row>
    <row r="12" spans="1:9" s="98" customFormat="1" ht="12">
      <c r="A12" s="98">
        <v>13</v>
      </c>
      <c r="B12" s="102" t="s">
        <v>999</v>
      </c>
      <c r="C12" s="102" t="s">
        <v>75</v>
      </c>
      <c r="D12" s="102" t="s">
        <v>1154</v>
      </c>
      <c r="E12" s="102">
        <v>301002</v>
      </c>
      <c r="F12" s="101">
        <v>1</v>
      </c>
      <c r="G12" s="101" t="s">
        <v>371</v>
      </c>
      <c r="H12" s="103" t="s">
        <v>479</v>
      </c>
      <c r="I12" s="102" t="s">
        <v>1099</v>
      </c>
    </row>
    <row r="13" spans="1:9" s="98" customFormat="1" ht="12">
      <c r="A13" s="98">
        <v>16</v>
      </c>
      <c r="B13" s="102" t="s">
        <v>1004</v>
      </c>
      <c r="C13" s="113" t="s">
        <v>178</v>
      </c>
      <c r="D13" s="102" t="s">
        <v>1155</v>
      </c>
      <c r="E13" s="104">
        <v>306073</v>
      </c>
      <c r="F13" s="101" t="s">
        <v>371</v>
      </c>
      <c r="G13" s="101">
        <v>1</v>
      </c>
      <c r="H13" s="112" t="s">
        <v>549</v>
      </c>
      <c r="I13" s="102" t="s">
        <v>1100</v>
      </c>
    </row>
    <row r="14" spans="1:9" s="98" customFormat="1" ht="12">
      <c r="A14" s="98">
        <v>19</v>
      </c>
      <c r="B14" s="102" t="s">
        <v>1045</v>
      </c>
      <c r="C14" s="102" t="s">
        <v>76</v>
      </c>
      <c r="D14" s="102" t="s">
        <v>1156</v>
      </c>
      <c r="E14" s="102">
        <v>406009</v>
      </c>
      <c r="F14" s="101">
        <v>1</v>
      </c>
      <c r="G14" s="101" t="s">
        <v>371</v>
      </c>
      <c r="H14" s="103" t="s">
        <v>580</v>
      </c>
      <c r="I14" s="102" t="s">
        <v>1101</v>
      </c>
    </row>
    <row r="15" spans="1:9" s="98" customFormat="1" ht="12">
      <c r="A15" s="98">
        <f>SUBTOTAL(3,E$4:$E15)</f>
        <v>12</v>
      </c>
      <c r="B15" s="102" t="s">
        <v>1006</v>
      </c>
      <c r="C15" s="102" t="s">
        <v>113</v>
      </c>
      <c r="D15" s="102" t="s">
        <v>1157</v>
      </c>
      <c r="E15" s="102">
        <v>503003</v>
      </c>
      <c r="F15" s="101">
        <v>1</v>
      </c>
      <c r="G15" s="101" t="s">
        <v>371</v>
      </c>
      <c r="H15" s="103" t="s">
        <v>646</v>
      </c>
      <c r="I15" s="102" t="s">
        <v>1145</v>
      </c>
    </row>
    <row r="16" spans="1:9" s="98" customFormat="1" ht="12">
      <c r="A16" s="98">
        <v>2</v>
      </c>
      <c r="B16" s="102" t="s">
        <v>1007</v>
      </c>
      <c r="C16" s="102" t="s">
        <v>221</v>
      </c>
      <c r="D16" s="102" t="s">
        <v>1039</v>
      </c>
      <c r="E16" s="102">
        <v>504011</v>
      </c>
      <c r="F16" s="101" t="s">
        <v>371</v>
      </c>
      <c r="G16" s="101">
        <v>1</v>
      </c>
      <c r="H16" s="103" t="s">
        <v>669</v>
      </c>
      <c r="I16" s="102" t="s">
        <v>1143</v>
      </c>
    </row>
    <row r="17" spans="1:9" s="98" customFormat="1" ht="12">
      <c r="A17" s="98">
        <v>20</v>
      </c>
      <c r="B17" s="102" t="s">
        <v>1011</v>
      </c>
      <c r="C17" s="102" t="s">
        <v>740</v>
      </c>
      <c r="D17" s="102" t="s">
        <v>1040</v>
      </c>
      <c r="E17" s="102">
        <v>508038</v>
      </c>
      <c r="F17" s="101" t="s">
        <v>371</v>
      </c>
      <c r="G17" s="101">
        <v>1</v>
      </c>
      <c r="H17" s="103" t="s">
        <v>741</v>
      </c>
      <c r="I17" s="102" t="s">
        <v>1102</v>
      </c>
    </row>
    <row r="18" spans="1:9" s="98" customFormat="1" ht="12">
      <c r="A18" s="98">
        <v>21</v>
      </c>
      <c r="B18" s="102" t="s">
        <v>1012</v>
      </c>
      <c r="C18" s="102" t="s">
        <v>114</v>
      </c>
      <c r="D18" s="102" t="s">
        <v>1158</v>
      </c>
      <c r="E18" s="102">
        <v>509011</v>
      </c>
      <c r="F18" s="101" t="s">
        <v>371</v>
      </c>
      <c r="G18" s="101">
        <v>1</v>
      </c>
      <c r="H18" s="103" t="s">
        <v>752</v>
      </c>
      <c r="I18" s="102" t="s">
        <v>1103</v>
      </c>
    </row>
    <row r="19" spans="1:9" s="98" customFormat="1" ht="13.5">
      <c r="A19" s="98">
        <v>23</v>
      </c>
      <c r="B19" s="102" t="s">
        <v>1013</v>
      </c>
      <c r="C19" s="102" t="s">
        <v>235</v>
      </c>
      <c r="D19" s="102" t="s">
        <v>1159</v>
      </c>
      <c r="E19" s="102">
        <v>601007</v>
      </c>
      <c r="F19" s="101">
        <v>1</v>
      </c>
      <c r="G19" s="101" t="s">
        <v>371</v>
      </c>
      <c r="H19" s="103" t="s">
        <v>770</v>
      </c>
      <c r="I19" s="105" t="s">
        <v>1104</v>
      </c>
    </row>
    <row r="20" spans="1:9" s="98" customFormat="1" ht="13.5">
      <c r="A20" s="98">
        <v>26</v>
      </c>
      <c r="B20" s="102" t="s">
        <v>1014</v>
      </c>
      <c r="C20" s="102" t="s">
        <v>240</v>
      </c>
      <c r="D20" s="102" t="s">
        <v>1160</v>
      </c>
      <c r="E20" s="102">
        <v>602038</v>
      </c>
      <c r="F20" s="101" t="s">
        <v>371</v>
      </c>
      <c r="G20" s="101">
        <v>1</v>
      </c>
      <c r="H20" s="103" t="s">
        <v>782</v>
      </c>
      <c r="I20" s="105" t="s">
        <v>1104</v>
      </c>
    </row>
    <row r="21" spans="1:9" s="98" customFormat="1" ht="12">
      <c r="A21" s="98">
        <v>24</v>
      </c>
      <c r="B21" s="102" t="s">
        <v>1014</v>
      </c>
      <c r="C21" s="102" t="s">
        <v>77</v>
      </c>
      <c r="D21" s="102" t="s">
        <v>1161</v>
      </c>
      <c r="E21" s="102">
        <v>602029</v>
      </c>
      <c r="F21" s="101">
        <v>1</v>
      </c>
      <c r="G21" s="101" t="s">
        <v>371</v>
      </c>
      <c r="H21" s="103" t="s">
        <v>776</v>
      </c>
      <c r="I21" s="102" t="s">
        <v>1102</v>
      </c>
    </row>
    <row r="22" spans="1:9" s="98" customFormat="1" ht="12">
      <c r="A22" s="98">
        <v>25</v>
      </c>
      <c r="B22" s="102" t="s">
        <v>1014</v>
      </c>
      <c r="C22" s="102" t="s">
        <v>78</v>
      </c>
      <c r="D22" s="102" t="s">
        <v>1162</v>
      </c>
      <c r="E22" s="102">
        <v>602031</v>
      </c>
      <c r="F22" s="101" t="s">
        <v>371</v>
      </c>
      <c r="G22" s="101">
        <v>1</v>
      </c>
      <c r="H22" s="103" t="s">
        <v>777</v>
      </c>
      <c r="I22" s="102" t="s">
        <v>1098</v>
      </c>
    </row>
    <row r="23" spans="1:9" s="98" customFormat="1" ht="12">
      <c r="A23" s="98">
        <v>27</v>
      </c>
      <c r="B23" s="102" t="s">
        <v>1015</v>
      </c>
      <c r="C23" s="102" t="s">
        <v>792</v>
      </c>
      <c r="D23" s="102" t="s">
        <v>1163</v>
      </c>
      <c r="E23" s="102">
        <v>603065</v>
      </c>
      <c r="F23" s="101" t="s">
        <v>371</v>
      </c>
      <c r="G23" s="101">
        <v>1</v>
      </c>
      <c r="H23" s="103" t="s">
        <v>793</v>
      </c>
      <c r="I23" s="102" t="s">
        <v>1105</v>
      </c>
    </row>
    <row r="24" spans="1:9" s="98" customFormat="1" ht="12" customHeight="1">
      <c r="A24" s="98">
        <v>28</v>
      </c>
      <c r="B24" s="102" t="s">
        <v>1015</v>
      </c>
      <c r="C24" s="102" t="s">
        <v>794</v>
      </c>
      <c r="D24" s="102" t="s">
        <v>1164</v>
      </c>
      <c r="E24" s="102">
        <v>603067</v>
      </c>
      <c r="F24" s="101">
        <v>1</v>
      </c>
      <c r="G24" s="101" t="s">
        <v>371</v>
      </c>
      <c r="H24" s="103" t="s">
        <v>795</v>
      </c>
      <c r="I24" s="102" t="s">
        <v>1106</v>
      </c>
    </row>
    <row r="25" spans="1:9" s="98" customFormat="1" ht="12">
      <c r="A25" s="98">
        <v>29</v>
      </c>
      <c r="B25" s="102" t="s">
        <v>1017</v>
      </c>
      <c r="C25" s="102" t="s">
        <v>79</v>
      </c>
      <c r="D25" s="102" t="s">
        <v>1165</v>
      </c>
      <c r="E25" s="102">
        <v>605010</v>
      </c>
      <c r="F25" s="101">
        <v>1</v>
      </c>
      <c r="G25" s="101" t="s">
        <v>371</v>
      </c>
      <c r="H25" s="103" t="s">
        <v>820</v>
      </c>
      <c r="I25" s="102" t="s">
        <v>1107</v>
      </c>
    </row>
    <row r="26" spans="1:9" s="98" customFormat="1" ht="12">
      <c r="A26" s="98">
        <v>30</v>
      </c>
      <c r="B26" s="102" t="s">
        <v>1019</v>
      </c>
      <c r="C26" s="102" t="s">
        <v>80</v>
      </c>
      <c r="D26" s="102" t="s">
        <v>1166</v>
      </c>
      <c r="E26" s="102">
        <v>701003</v>
      </c>
      <c r="F26" s="101" t="s">
        <v>371</v>
      </c>
      <c r="G26" s="101">
        <v>1</v>
      </c>
      <c r="H26" s="103" t="s">
        <v>833</v>
      </c>
      <c r="I26" s="102" t="s">
        <v>1098</v>
      </c>
    </row>
    <row r="27" spans="1:9" s="98" customFormat="1" ht="12">
      <c r="A27" s="98">
        <v>32</v>
      </c>
      <c r="B27" s="102" t="s">
        <v>1021</v>
      </c>
      <c r="C27" s="102" t="s">
        <v>82</v>
      </c>
      <c r="D27" s="102" t="s">
        <v>1167</v>
      </c>
      <c r="E27" s="102">
        <v>703010</v>
      </c>
      <c r="F27" s="101" t="s">
        <v>371</v>
      </c>
      <c r="G27" s="101">
        <v>1</v>
      </c>
      <c r="H27" s="103" t="s">
        <v>841</v>
      </c>
      <c r="I27" s="102" t="s">
        <v>1108</v>
      </c>
    </row>
    <row r="28" spans="1:9" s="98" customFormat="1" ht="12">
      <c r="A28" s="98">
        <v>31</v>
      </c>
      <c r="B28" s="102" t="s">
        <v>1021</v>
      </c>
      <c r="C28" s="102" t="s">
        <v>81</v>
      </c>
      <c r="D28" s="102" t="s">
        <v>1168</v>
      </c>
      <c r="E28" s="102">
        <v>703007</v>
      </c>
      <c r="F28" s="101">
        <v>1</v>
      </c>
      <c r="G28" s="101" t="s">
        <v>371</v>
      </c>
      <c r="H28" s="103" t="s">
        <v>838</v>
      </c>
      <c r="I28" s="102" t="s">
        <v>1098</v>
      </c>
    </row>
    <row r="29" spans="1:9" s="98" customFormat="1" ht="12">
      <c r="A29" s="98">
        <v>33</v>
      </c>
      <c r="B29" s="102" t="s">
        <v>1023</v>
      </c>
      <c r="C29" s="102" t="s">
        <v>83</v>
      </c>
      <c r="D29" s="102" t="s">
        <v>1169</v>
      </c>
      <c r="E29" s="102">
        <v>705007</v>
      </c>
      <c r="F29" s="101" t="s">
        <v>371</v>
      </c>
      <c r="G29" s="101">
        <v>1</v>
      </c>
      <c r="H29" s="103" t="s">
        <v>868</v>
      </c>
      <c r="I29" s="102" t="s">
        <v>1109</v>
      </c>
    </row>
    <row r="30" spans="1:9" s="98" customFormat="1" ht="12">
      <c r="A30" s="98">
        <v>34</v>
      </c>
      <c r="B30" s="102" t="s">
        <v>1023</v>
      </c>
      <c r="C30" s="102" t="s">
        <v>273</v>
      </c>
      <c r="D30" s="102" t="s">
        <v>1170</v>
      </c>
      <c r="E30" s="102">
        <v>705009</v>
      </c>
      <c r="F30" s="101" t="s">
        <v>371</v>
      </c>
      <c r="G30" s="101">
        <v>1</v>
      </c>
      <c r="H30" s="103" t="s">
        <v>869</v>
      </c>
      <c r="I30" s="102" t="s">
        <v>1110</v>
      </c>
    </row>
    <row r="31" spans="1:9" s="98" customFormat="1" ht="12">
      <c r="A31" s="98">
        <v>35</v>
      </c>
      <c r="B31" s="102" t="s">
        <v>1024</v>
      </c>
      <c r="C31" s="102" t="s">
        <v>872</v>
      </c>
      <c r="D31" s="102" t="s">
        <v>1171</v>
      </c>
      <c r="E31" s="102">
        <v>802008</v>
      </c>
      <c r="F31" s="101" t="s">
        <v>371</v>
      </c>
      <c r="G31" s="101">
        <v>1</v>
      </c>
      <c r="H31" s="103" t="s">
        <v>873</v>
      </c>
      <c r="I31" s="102" t="s">
        <v>1111</v>
      </c>
    </row>
    <row r="32" spans="1:9" s="98" customFormat="1" ht="12">
      <c r="A32" s="98">
        <v>37</v>
      </c>
      <c r="B32" s="102" t="s">
        <v>1025</v>
      </c>
      <c r="C32" s="102" t="s">
        <v>882</v>
      </c>
      <c r="D32" s="102" t="s">
        <v>1172</v>
      </c>
      <c r="E32" s="102">
        <v>803006</v>
      </c>
      <c r="F32" s="101">
        <v>1</v>
      </c>
      <c r="G32" s="101" t="s">
        <v>371</v>
      </c>
      <c r="H32" s="103" t="s">
        <v>883</v>
      </c>
      <c r="I32" s="102" t="s">
        <v>1113</v>
      </c>
    </row>
    <row r="33" spans="1:9" s="98" customFormat="1" ht="12">
      <c r="A33" s="98">
        <v>36</v>
      </c>
      <c r="B33" s="102" t="s">
        <v>1025</v>
      </c>
      <c r="C33" s="102" t="s">
        <v>880</v>
      </c>
      <c r="D33" s="102" t="s">
        <v>1173</v>
      </c>
      <c r="E33" s="102">
        <v>803005</v>
      </c>
      <c r="F33" s="101" t="s">
        <v>371</v>
      </c>
      <c r="G33" s="101">
        <v>1</v>
      </c>
      <c r="H33" s="103" t="s">
        <v>881</v>
      </c>
      <c r="I33" s="102" t="s">
        <v>1112</v>
      </c>
    </row>
    <row r="34" spans="1:9" s="98" customFormat="1" ht="12">
      <c r="A34" s="98">
        <v>38</v>
      </c>
      <c r="B34" s="102" t="s">
        <v>1026</v>
      </c>
      <c r="C34" s="102" t="s">
        <v>84</v>
      </c>
      <c r="D34" s="102" t="s">
        <v>1174</v>
      </c>
      <c r="E34" s="102">
        <v>804006</v>
      </c>
      <c r="F34" s="101" t="s">
        <v>371</v>
      </c>
      <c r="G34" s="101">
        <v>1</v>
      </c>
      <c r="H34" s="103" t="s">
        <v>888</v>
      </c>
      <c r="I34" s="102" t="s">
        <v>1098</v>
      </c>
    </row>
    <row r="35" spans="1:9" s="98" customFormat="1" ht="12">
      <c r="A35" s="98">
        <v>45</v>
      </c>
      <c r="B35" s="102" t="s">
        <v>1027</v>
      </c>
      <c r="C35" s="102" t="s">
        <v>89</v>
      </c>
      <c r="D35" s="102" t="s">
        <v>1175</v>
      </c>
      <c r="E35" s="102">
        <v>901042</v>
      </c>
      <c r="F35" s="101" t="s">
        <v>371</v>
      </c>
      <c r="G35" s="101">
        <v>1</v>
      </c>
      <c r="H35" s="103" t="s">
        <v>902</v>
      </c>
      <c r="I35" s="102" t="s">
        <v>1116</v>
      </c>
    </row>
    <row r="36" spans="1:9" s="98" customFormat="1" ht="12">
      <c r="A36" s="98">
        <v>43</v>
      </c>
      <c r="B36" s="102" t="s">
        <v>1027</v>
      </c>
      <c r="C36" s="102" t="s">
        <v>87</v>
      </c>
      <c r="D36" s="102" t="s">
        <v>1176</v>
      </c>
      <c r="E36" s="102">
        <v>901018</v>
      </c>
      <c r="F36" s="101">
        <v>1</v>
      </c>
      <c r="G36" s="101" t="s">
        <v>371</v>
      </c>
      <c r="H36" s="103" t="s">
        <v>896</v>
      </c>
      <c r="I36" s="102" t="s">
        <v>1114</v>
      </c>
    </row>
    <row r="37" spans="1:9" s="98" customFormat="1" ht="12">
      <c r="A37" s="98">
        <v>49</v>
      </c>
      <c r="B37" s="102" t="s">
        <v>1027</v>
      </c>
      <c r="C37" s="102" t="s">
        <v>92</v>
      </c>
      <c r="D37" s="102" t="s">
        <v>1177</v>
      </c>
      <c r="E37" s="102">
        <v>901061</v>
      </c>
      <c r="F37" s="101" t="s">
        <v>371</v>
      </c>
      <c r="G37" s="101">
        <v>1</v>
      </c>
      <c r="H37" s="103" t="s">
        <v>910</v>
      </c>
      <c r="I37" s="102" t="s">
        <v>1119</v>
      </c>
    </row>
    <row r="38" spans="1:9" s="98" customFormat="1" ht="12">
      <c r="A38" s="98">
        <v>46</v>
      </c>
      <c r="B38" s="102" t="s">
        <v>1027</v>
      </c>
      <c r="C38" s="102" t="s">
        <v>115</v>
      </c>
      <c r="D38" s="102" t="s">
        <v>1178</v>
      </c>
      <c r="E38" s="102">
        <v>901045</v>
      </c>
      <c r="F38" s="101">
        <v>1</v>
      </c>
      <c r="G38" s="101" t="s">
        <v>371</v>
      </c>
      <c r="H38" s="103" t="s">
        <v>905</v>
      </c>
      <c r="I38" s="102" t="s">
        <v>1098</v>
      </c>
    </row>
    <row r="39" spans="1:9" s="98" customFormat="1" ht="12">
      <c r="A39" s="98">
        <v>40</v>
      </c>
      <c r="B39" s="102" t="s">
        <v>1027</v>
      </c>
      <c r="C39" s="102" t="s">
        <v>85</v>
      </c>
      <c r="D39" s="102" t="s">
        <v>1179</v>
      </c>
      <c r="E39" s="102">
        <v>901002</v>
      </c>
      <c r="F39" s="101">
        <v>1</v>
      </c>
      <c r="G39" s="101" t="s">
        <v>371</v>
      </c>
      <c r="H39" s="103" t="s">
        <v>893</v>
      </c>
      <c r="I39" s="102" t="s">
        <v>1098</v>
      </c>
    </row>
    <row r="40" spans="1:9" s="98" customFormat="1" ht="12">
      <c r="A40" s="98">
        <v>48</v>
      </c>
      <c r="B40" s="102" t="s">
        <v>1027</v>
      </c>
      <c r="C40" s="102" t="s">
        <v>91</v>
      </c>
      <c r="D40" s="102" t="s">
        <v>1180</v>
      </c>
      <c r="E40" s="102">
        <v>901050</v>
      </c>
      <c r="F40" s="101" t="s">
        <v>371</v>
      </c>
      <c r="G40" s="101">
        <v>1</v>
      </c>
      <c r="H40" s="103" t="s">
        <v>907</v>
      </c>
      <c r="I40" s="102" t="s">
        <v>1118</v>
      </c>
    </row>
    <row r="41" spans="1:9" s="98" customFormat="1" ht="12">
      <c r="A41" s="98">
        <v>41</v>
      </c>
      <c r="B41" s="102" t="s">
        <v>1027</v>
      </c>
      <c r="C41" s="102" t="s">
        <v>285</v>
      </c>
      <c r="D41" s="102" t="s">
        <v>1181</v>
      </c>
      <c r="E41" s="102">
        <v>901003</v>
      </c>
      <c r="F41" s="101">
        <v>1</v>
      </c>
      <c r="G41" s="101" t="s">
        <v>371</v>
      </c>
      <c r="H41" s="103" t="s">
        <v>894</v>
      </c>
      <c r="I41" s="102" t="s">
        <v>1098</v>
      </c>
    </row>
    <row r="42" spans="1:9" s="98" customFormat="1" ht="12">
      <c r="A42" s="98">
        <v>42</v>
      </c>
      <c r="B42" s="102" t="s">
        <v>1027</v>
      </c>
      <c r="C42" s="102" t="s">
        <v>86</v>
      </c>
      <c r="D42" s="102" t="s">
        <v>1182</v>
      </c>
      <c r="E42" s="102">
        <v>901009</v>
      </c>
      <c r="F42" s="101" t="s">
        <v>371</v>
      </c>
      <c r="G42" s="101">
        <v>1</v>
      </c>
      <c r="H42" s="103" t="s">
        <v>895</v>
      </c>
      <c r="I42" s="102" t="s">
        <v>1098</v>
      </c>
    </row>
    <row r="43" spans="1:9" s="98" customFormat="1" ht="12">
      <c r="A43" s="98">
        <v>44</v>
      </c>
      <c r="B43" s="102" t="s">
        <v>1027</v>
      </c>
      <c r="C43" s="102" t="s">
        <v>88</v>
      </c>
      <c r="D43" s="102" t="s">
        <v>1183</v>
      </c>
      <c r="E43" s="102">
        <v>901027</v>
      </c>
      <c r="F43" s="101" t="s">
        <v>371</v>
      </c>
      <c r="G43" s="101">
        <v>1</v>
      </c>
      <c r="H43" s="103" t="s">
        <v>897</v>
      </c>
      <c r="I43" s="102" t="s">
        <v>1115</v>
      </c>
    </row>
    <row r="44" spans="1:9" s="98" customFormat="1" ht="12">
      <c r="A44" s="98">
        <v>47</v>
      </c>
      <c r="B44" s="102" t="s">
        <v>1027</v>
      </c>
      <c r="C44" s="102" t="s">
        <v>90</v>
      </c>
      <c r="D44" s="102" t="s">
        <v>1184</v>
      </c>
      <c r="E44" s="102">
        <v>901047</v>
      </c>
      <c r="F44" s="101" t="s">
        <v>371</v>
      </c>
      <c r="G44" s="101">
        <v>1</v>
      </c>
      <c r="H44" s="103" t="s">
        <v>906</v>
      </c>
      <c r="I44" s="102" t="s">
        <v>1117</v>
      </c>
    </row>
    <row r="45" spans="1:9" s="98" customFormat="1" ht="12">
      <c r="A45" s="98">
        <v>50</v>
      </c>
      <c r="B45" s="102" t="s">
        <v>1028</v>
      </c>
      <c r="C45" s="102" t="s">
        <v>116</v>
      </c>
      <c r="D45" s="102" t="s">
        <v>1185</v>
      </c>
      <c r="E45" s="102">
        <v>902003</v>
      </c>
      <c r="F45" s="101">
        <v>1</v>
      </c>
      <c r="G45" s="101" t="s">
        <v>371</v>
      </c>
      <c r="H45" s="103" t="s">
        <v>920</v>
      </c>
      <c r="I45" s="102" t="s">
        <v>1120</v>
      </c>
    </row>
    <row r="46" spans="1:9" s="98" customFormat="1" ht="12">
      <c r="A46" s="98">
        <v>52</v>
      </c>
      <c r="B46" s="102" t="s">
        <v>1029</v>
      </c>
      <c r="C46" s="102" t="s">
        <v>117</v>
      </c>
      <c r="D46" s="102" t="s">
        <v>1186</v>
      </c>
      <c r="E46" s="102">
        <v>903013</v>
      </c>
      <c r="F46" s="101">
        <v>1</v>
      </c>
      <c r="G46" s="101" t="s">
        <v>371</v>
      </c>
      <c r="H46" s="103" t="s">
        <v>925</v>
      </c>
      <c r="I46" s="102" t="s">
        <v>1122</v>
      </c>
    </row>
    <row r="47" spans="1:9" s="98" customFormat="1" ht="13.5">
      <c r="A47" s="98">
        <v>53</v>
      </c>
      <c r="B47" s="102" t="s">
        <v>1029</v>
      </c>
      <c r="C47" s="102" t="s">
        <v>94</v>
      </c>
      <c r="D47" s="102" t="s">
        <v>1187</v>
      </c>
      <c r="E47" s="102">
        <v>903018</v>
      </c>
      <c r="F47" s="101" t="s">
        <v>371</v>
      </c>
      <c r="G47" s="101">
        <v>1</v>
      </c>
      <c r="H47" s="103" t="s">
        <v>926</v>
      </c>
      <c r="I47" s="105" t="s">
        <v>1123</v>
      </c>
    </row>
    <row r="48" spans="1:9" s="98" customFormat="1" ht="13.5">
      <c r="A48" s="98">
        <v>54</v>
      </c>
      <c r="B48" s="102" t="s">
        <v>1029</v>
      </c>
      <c r="C48" s="102" t="s">
        <v>95</v>
      </c>
      <c r="D48" s="102" t="s">
        <v>1188</v>
      </c>
      <c r="E48" s="102">
        <v>903020</v>
      </c>
      <c r="F48" s="101" t="s">
        <v>371</v>
      </c>
      <c r="G48" s="101">
        <v>1</v>
      </c>
      <c r="H48" s="103" t="s">
        <v>927</v>
      </c>
      <c r="I48" s="105" t="s">
        <v>1124</v>
      </c>
    </row>
    <row r="49" spans="1:9" s="98" customFormat="1" ht="12">
      <c r="A49" s="98">
        <v>51</v>
      </c>
      <c r="B49" s="102" t="s">
        <v>1029</v>
      </c>
      <c r="C49" s="102" t="s">
        <v>93</v>
      </c>
      <c r="D49" s="102" t="s">
        <v>1189</v>
      </c>
      <c r="E49" s="102">
        <v>903009</v>
      </c>
      <c r="F49" s="101" t="s">
        <v>371</v>
      </c>
      <c r="G49" s="101">
        <v>1</v>
      </c>
      <c r="H49" s="103" t="s">
        <v>922</v>
      </c>
      <c r="I49" s="102" t="s">
        <v>1121</v>
      </c>
    </row>
    <row r="50" spans="1:9" s="98" customFormat="1" ht="12">
      <c r="A50" s="98">
        <v>57</v>
      </c>
      <c r="B50" s="102" t="s">
        <v>1030</v>
      </c>
      <c r="C50" s="102" t="s">
        <v>98</v>
      </c>
      <c r="D50" s="102" t="s">
        <v>1190</v>
      </c>
      <c r="E50" s="102">
        <v>904019</v>
      </c>
      <c r="F50" s="101" t="s">
        <v>371</v>
      </c>
      <c r="G50" s="101">
        <v>1</v>
      </c>
      <c r="H50" s="103" t="s">
        <v>939</v>
      </c>
      <c r="I50" s="102" t="s">
        <v>1127</v>
      </c>
    </row>
    <row r="51" spans="1:9" s="98" customFormat="1" ht="12">
      <c r="A51" s="98">
        <v>55</v>
      </c>
      <c r="B51" s="102" t="s">
        <v>1030</v>
      </c>
      <c r="C51" s="102" t="s">
        <v>96</v>
      </c>
      <c r="D51" s="102" t="s">
        <v>1191</v>
      </c>
      <c r="E51" s="102">
        <v>904009</v>
      </c>
      <c r="F51" s="101" t="s">
        <v>371</v>
      </c>
      <c r="G51" s="101">
        <v>1</v>
      </c>
      <c r="H51" s="103" t="s">
        <v>937</v>
      </c>
      <c r="I51" s="102" t="s">
        <v>1125</v>
      </c>
    </row>
    <row r="52" spans="1:9" s="98" customFormat="1" ht="12">
      <c r="A52" s="98">
        <v>58</v>
      </c>
      <c r="B52" s="102" t="s">
        <v>1030</v>
      </c>
      <c r="C52" s="102" t="s">
        <v>99</v>
      </c>
      <c r="D52" s="102" t="s">
        <v>1192</v>
      </c>
      <c r="E52" s="102">
        <v>904022</v>
      </c>
      <c r="F52" s="101" t="s">
        <v>371</v>
      </c>
      <c r="G52" s="101">
        <v>1</v>
      </c>
      <c r="H52" s="103" t="s">
        <v>622</v>
      </c>
      <c r="I52" s="102" t="s">
        <v>1128</v>
      </c>
    </row>
    <row r="53" spans="1:9" s="98" customFormat="1" ht="12">
      <c r="A53" s="98">
        <v>56</v>
      </c>
      <c r="B53" s="102" t="s">
        <v>1030</v>
      </c>
      <c r="C53" s="102" t="s">
        <v>97</v>
      </c>
      <c r="D53" s="102" t="s">
        <v>1193</v>
      </c>
      <c r="E53" s="102">
        <v>904018</v>
      </c>
      <c r="F53" s="101" t="s">
        <v>371</v>
      </c>
      <c r="G53" s="101">
        <v>1</v>
      </c>
      <c r="H53" s="103" t="s">
        <v>938</v>
      </c>
      <c r="I53" s="102" t="s">
        <v>1126</v>
      </c>
    </row>
    <row r="54" spans="1:9" s="98" customFormat="1" ht="12">
      <c r="A54" s="98">
        <v>60</v>
      </c>
      <c r="B54" s="102" t="s">
        <v>1031</v>
      </c>
      <c r="C54" s="102" t="s">
        <v>296</v>
      </c>
      <c r="D54" s="102" t="s">
        <v>1194</v>
      </c>
      <c r="E54" s="102">
        <v>905005</v>
      </c>
      <c r="F54" s="101" t="s">
        <v>371</v>
      </c>
      <c r="G54" s="101">
        <v>1</v>
      </c>
      <c r="H54" s="103" t="s">
        <v>945</v>
      </c>
      <c r="I54" s="102" t="s">
        <v>1130</v>
      </c>
    </row>
    <row r="55" spans="1:9" s="98" customFormat="1" ht="12">
      <c r="A55" s="98">
        <v>59</v>
      </c>
      <c r="B55" s="102" t="s">
        <v>1031</v>
      </c>
      <c r="C55" s="102" t="s">
        <v>100</v>
      </c>
      <c r="D55" s="102" t="s">
        <v>1041</v>
      </c>
      <c r="E55" s="102">
        <v>905002</v>
      </c>
      <c r="F55" s="101">
        <v>1</v>
      </c>
      <c r="G55" s="101" t="s">
        <v>371</v>
      </c>
      <c r="H55" s="103" t="s">
        <v>943</v>
      </c>
      <c r="I55" s="102" t="s">
        <v>1129</v>
      </c>
    </row>
    <row r="56" spans="1:9" s="98" customFormat="1" ht="12">
      <c r="A56" s="98">
        <v>62</v>
      </c>
      <c r="B56" s="102" t="s">
        <v>1031</v>
      </c>
      <c r="C56" s="102" t="s">
        <v>101</v>
      </c>
      <c r="D56" s="102" t="s">
        <v>1195</v>
      </c>
      <c r="E56" s="102">
        <v>905009</v>
      </c>
      <c r="F56" s="101" t="s">
        <v>371</v>
      </c>
      <c r="G56" s="101">
        <v>1</v>
      </c>
      <c r="H56" s="103" t="s">
        <v>947</v>
      </c>
      <c r="I56" s="102" t="s">
        <v>1132</v>
      </c>
    </row>
    <row r="57" spans="1:9" s="98" customFormat="1" ht="12">
      <c r="A57" s="98">
        <v>61</v>
      </c>
      <c r="B57" s="102" t="s">
        <v>1031</v>
      </c>
      <c r="C57" s="102" t="s">
        <v>118</v>
      </c>
      <c r="D57" s="102" t="s">
        <v>1196</v>
      </c>
      <c r="E57" s="102">
        <v>905006</v>
      </c>
      <c r="F57" s="101">
        <v>1</v>
      </c>
      <c r="G57" s="101" t="s">
        <v>371</v>
      </c>
      <c r="H57" s="103" t="s">
        <v>946</v>
      </c>
      <c r="I57" s="102" t="s">
        <v>1131</v>
      </c>
    </row>
    <row r="58" spans="1:9" s="98" customFormat="1" ht="12">
      <c r="A58" s="98">
        <v>63</v>
      </c>
      <c r="B58" s="102" t="s">
        <v>1031</v>
      </c>
      <c r="C58" s="102" t="s">
        <v>65</v>
      </c>
      <c r="D58" s="102" t="s">
        <v>1042</v>
      </c>
      <c r="E58" s="102">
        <v>905012</v>
      </c>
      <c r="F58" s="101">
        <v>1</v>
      </c>
      <c r="G58" s="101" t="s">
        <v>371</v>
      </c>
      <c r="H58" s="103" t="s">
        <v>638</v>
      </c>
      <c r="I58" s="102" t="s">
        <v>1098</v>
      </c>
    </row>
    <row r="59" spans="1:9" s="98" customFormat="1" ht="12">
      <c r="A59" s="98">
        <v>64</v>
      </c>
      <c r="B59" s="102" t="s">
        <v>1031</v>
      </c>
      <c r="C59" s="102" t="s">
        <v>102</v>
      </c>
      <c r="D59" s="102" t="s">
        <v>1197</v>
      </c>
      <c r="E59" s="102">
        <v>905014</v>
      </c>
      <c r="F59" s="101" t="s">
        <v>371</v>
      </c>
      <c r="G59" s="101">
        <v>1</v>
      </c>
      <c r="H59" s="103" t="s">
        <v>950</v>
      </c>
      <c r="I59" s="102" t="s">
        <v>1098</v>
      </c>
    </row>
    <row r="60" spans="1:9" s="98" customFormat="1" ht="12">
      <c r="A60" s="98">
        <v>67</v>
      </c>
      <c r="B60" s="102" t="s">
        <v>1032</v>
      </c>
      <c r="C60" s="102" t="s">
        <v>299</v>
      </c>
      <c r="D60" s="102" t="s">
        <v>1043</v>
      </c>
      <c r="E60" s="102">
        <v>906013</v>
      </c>
      <c r="F60" s="101" t="s">
        <v>371</v>
      </c>
      <c r="G60" s="101">
        <v>1</v>
      </c>
      <c r="H60" s="103" t="s">
        <v>959</v>
      </c>
      <c r="I60" s="102" t="s">
        <v>1135</v>
      </c>
    </row>
    <row r="61" spans="1:9" s="98" customFormat="1" ht="12">
      <c r="A61" s="98">
        <v>68</v>
      </c>
      <c r="B61" s="102" t="s">
        <v>1032</v>
      </c>
      <c r="C61" s="102" t="s">
        <v>962</v>
      </c>
      <c r="D61" s="102" t="s">
        <v>1198</v>
      </c>
      <c r="E61" s="102">
        <v>906015</v>
      </c>
      <c r="F61" s="101" t="s">
        <v>371</v>
      </c>
      <c r="G61" s="101">
        <v>1</v>
      </c>
      <c r="H61" s="103" t="s">
        <v>963</v>
      </c>
      <c r="I61" s="102" t="s">
        <v>1136</v>
      </c>
    </row>
    <row r="62" spans="1:9" s="98" customFormat="1" ht="12">
      <c r="A62" s="98">
        <v>65</v>
      </c>
      <c r="B62" s="102" t="s">
        <v>1032</v>
      </c>
      <c r="C62" s="102" t="s">
        <v>103</v>
      </c>
      <c r="D62" s="102" t="s">
        <v>1199</v>
      </c>
      <c r="E62" s="102">
        <v>906006</v>
      </c>
      <c r="F62" s="101">
        <v>1</v>
      </c>
      <c r="G62" s="101" t="s">
        <v>371</v>
      </c>
      <c r="H62" s="103" t="s">
        <v>955</v>
      </c>
      <c r="I62" s="102" t="s">
        <v>1133</v>
      </c>
    </row>
    <row r="63" spans="1:9" s="98" customFormat="1" ht="12">
      <c r="A63" s="98">
        <v>66</v>
      </c>
      <c r="B63" s="102" t="s">
        <v>1032</v>
      </c>
      <c r="C63" s="102" t="s">
        <v>104</v>
      </c>
      <c r="D63" s="102" t="s">
        <v>1200</v>
      </c>
      <c r="E63" s="102">
        <v>906009</v>
      </c>
      <c r="F63" s="101" t="s">
        <v>371</v>
      </c>
      <c r="G63" s="101">
        <v>1</v>
      </c>
      <c r="H63" s="103" t="s">
        <v>956</v>
      </c>
      <c r="I63" s="102" t="s">
        <v>1134</v>
      </c>
    </row>
    <row r="64" spans="1:9" s="98" customFormat="1" ht="12">
      <c r="A64" s="98">
        <v>73</v>
      </c>
      <c r="B64" s="102" t="s">
        <v>1033</v>
      </c>
      <c r="C64" s="102" t="s">
        <v>108</v>
      </c>
      <c r="D64" s="102" t="s">
        <v>1201</v>
      </c>
      <c r="E64" s="102">
        <v>907017</v>
      </c>
      <c r="F64" s="101" t="s">
        <v>371</v>
      </c>
      <c r="G64" s="101">
        <v>1</v>
      </c>
      <c r="H64" s="103" t="s">
        <v>969</v>
      </c>
      <c r="I64" s="102" t="s">
        <v>1141</v>
      </c>
    </row>
    <row r="65" spans="1:9" s="98" customFormat="1" ht="12">
      <c r="A65" s="98">
        <v>69</v>
      </c>
      <c r="B65" s="102" t="s">
        <v>1033</v>
      </c>
      <c r="C65" s="102" t="s">
        <v>105</v>
      </c>
      <c r="D65" s="102" t="s">
        <v>1202</v>
      </c>
      <c r="E65" s="102">
        <v>907006</v>
      </c>
      <c r="F65" s="101" t="s">
        <v>371</v>
      </c>
      <c r="G65" s="101">
        <v>1</v>
      </c>
      <c r="H65" s="103" t="s">
        <v>965</v>
      </c>
      <c r="I65" s="102" t="s">
        <v>1137</v>
      </c>
    </row>
    <row r="66" spans="1:9" s="98" customFormat="1" ht="12">
      <c r="A66" s="98">
        <v>70</v>
      </c>
      <c r="B66" s="102" t="s">
        <v>1033</v>
      </c>
      <c r="C66" s="102" t="s">
        <v>119</v>
      </c>
      <c r="D66" s="102" t="s">
        <v>1044</v>
      </c>
      <c r="E66" s="102">
        <v>907013</v>
      </c>
      <c r="F66" s="101" t="s">
        <v>371</v>
      </c>
      <c r="G66" s="101">
        <v>1</v>
      </c>
      <c r="H66" s="103" t="s">
        <v>767</v>
      </c>
      <c r="I66" s="102" t="s">
        <v>1138</v>
      </c>
    </row>
    <row r="67" spans="1:9" s="98" customFormat="1" ht="12">
      <c r="A67" s="98">
        <v>74</v>
      </c>
      <c r="B67" s="102" t="s">
        <v>1033</v>
      </c>
      <c r="C67" s="102" t="s">
        <v>109</v>
      </c>
      <c r="D67" s="102" t="s">
        <v>1203</v>
      </c>
      <c r="E67" s="102">
        <v>907020</v>
      </c>
      <c r="F67" s="101" t="s">
        <v>371</v>
      </c>
      <c r="G67" s="101">
        <v>1</v>
      </c>
      <c r="H67" s="103" t="s">
        <v>970</v>
      </c>
      <c r="I67" s="102" t="s">
        <v>1142</v>
      </c>
    </row>
    <row r="68" spans="1:9" s="98" customFormat="1" ht="12">
      <c r="A68" s="98">
        <v>71</v>
      </c>
      <c r="B68" s="102" t="s">
        <v>1033</v>
      </c>
      <c r="C68" s="102" t="s">
        <v>106</v>
      </c>
      <c r="D68" s="102" t="s">
        <v>1204</v>
      </c>
      <c r="E68" s="102">
        <v>907014</v>
      </c>
      <c r="F68" s="101" t="s">
        <v>371</v>
      </c>
      <c r="G68" s="101">
        <v>1</v>
      </c>
      <c r="H68" s="103" t="s">
        <v>967</v>
      </c>
      <c r="I68" s="102" t="s">
        <v>1139</v>
      </c>
    </row>
    <row r="69" spans="1:9" s="98" customFormat="1" ht="12">
      <c r="A69" s="98">
        <v>72</v>
      </c>
      <c r="B69" s="102" t="s">
        <v>1033</v>
      </c>
      <c r="C69" s="102" t="s">
        <v>107</v>
      </c>
      <c r="D69" s="102" t="s">
        <v>1205</v>
      </c>
      <c r="E69" s="102">
        <v>907016</v>
      </c>
      <c r="F69" s="101" t="s">
        <v>371</v>
      </c>
      <c r="G69" s="101">
        <v>1</v>
      </c>
      <c r="H69" s="103" t="s">
        <v>968</v>
      </c>
      <c r="I69" s="102" t="s">
        <v>1140</v>
      </c>
    </row>
  </sheetData>
  <sortState xmlns:xlrd2="http://schemas.microsoft.com/office/spreadsheetml/2017/richdata2" ref="A2:I69">
    <sortCondition ref="B2:B69" customList="北海道,青森県,岩手県,宮城県,秋田県,山形県,福島県,新潟県,茨城県,栃木県,群馬県,埼玉県,千葉県,神奈川県,東京都,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
    <sortCondition ref="H2:H69"/>
  </sortState>
  <phoneticPr fontId="15"/>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1B808-74FE-45AC-BB74-4F00E43F6644}">
  <sheetPr codeName="Sheet5"/>
  <dimension ref="A1:Q286"/>
  <sheetViews>
    <sheetView workbookViewId="0">
      <selection activeCell="A2" sqref="A2:XFD1499"/>
    </sheetView>
  </sheetViews>
  <sheetFormatPr defaultRowHeight="10.5"/>
  <cols>
    <col min="5" max="5" width="42.5" customWidth="1"/>
    <col min="12" max="12" width="11.33203125" style="146" bestFit="1" customWidth="1"/>
    <col min="13" max="13" width="34.5" customWidth="1"/>
  </cols>
  <sheetData>
    <row r="1" spans="1:17" s="95" customFormat="1" ht="77.25" customHeight="1">
      <c r="A1" s="141" t="s">
        <v>1046</v>
      </c>
      <c r="B1" s="141" t="s">
        <v>344</v>
      </c>
      <c r="C1" s="142" t="s">
        <v>388</v>
      </c>
      <c r="D1" s="148" t="s">
        <v>1089</v>
      </c>
      <c r="E1" s="140" t="s">
        <v>389</v>
      </c>
      <c r="F1" s="94" t="s">
        <v>390</v>
      </c>
      <c r="G1" s="139" t="s">
        <v>391</v>
      </c>
      <c r="H1" s="139" t="s">
        <v>1047</v>
      </c>
      <c r="I1" s="147" t="s">
        <v>1088</v>
      </c>
      <c r="J1" s="138" t="s">
        <v>392</v>
      </c>
      <c r="K1" s="138" t="s">
        <v>393</v>
      </c>
      <c r="L1" s="144" t="s">
        <v>1035</v>
      </c>
      <c r="M1" s="96" t="s">
        <v>1048</v>
      </c>
      <c r="N1" s="97" t="s">
        <v>1049</v>
      </c>
      <c r="O1" s="97" t="s">
        <v>1050</v>
      </c>
    </row>
    <row r="2" spans="1:17" s="98" customFormat="1" ht="12">
      <c r="A2" s="102" t="s">
        <v>112</v>
      </c>
      <c r="B2" s="99" t="s">
        <v>112</v>
      </c>
      <c r="C2" s="102">
        <v>100005</v>
      </c>
      <c r="D2" s="99">
        <v>1100005</v>
      </c>
      <c r="E2" s="102" t="s">
        <v>124</v>
      </c>
      <c r="F2" s="103" t="s">
        <v>394</v>
      </c>
      <c r="G2" s="102" t="s">
        <v>395</v>
      </c>
      <c r="H2" s="102"/>
      <c r="I2" s="102"/>
      <c r="J2" s="102"/>
      <c r="K2" s="103"/>
      <c r="L2" s="143">
        <v>1100005</v>
      </c>
      <c r="M2" s="101" t="s">
        <v>124</v>
      </c>
      <c r="N2" s="101" t="s">
        <v>371</v>
      </c>
      <c r="O2" s="101">
        <v>1</v>
      </c>
    </row>
    <row r="3" spans="1:17" s="98" customFormat="1" ht="17.25">
      <c r="A3" s="102" t="s">
        <v>112</v>
      </c>
      <c r="B3" s="99" t="s">
        <v>112</v>
      </c>
      <c r="C3" s="102">
        <v>100016</v>
      </c>
      <c r="D3" s="99">
        <v>1100016</v>
      </c>
      <c r="E3" s="102" t="s">
        <v>396</v>
      </c>
      <c r="F3" s="103" t="s">
        <v>397</v>
      </c>
      <c r="G3" s="102" t="s">
        <v>398</v>
      </c>
      <c r="H3" s="102"/>
      <c r="I3" s="99">
        <v>3100016</v>
      </c>
      <c r="J3" s="102" t="s">
        <v>399</v>
      </c>
      <c r="K3" s="103" t="s">
        <v>400</v>
      </c>
      <c r="L3" s="143">
        <v>1100016</v>
      </c>
      <c r="M3" s="101" t="s">
        <v>401</v>
      </c>
      <c r="N3" s="101" t="s">
        <v>371</v>
      </c>
      <c r="O3" s="101">
        <v>1</v>
      </c>
    </row>
    <row r="4" spans="1:17" s="98" customFormat="1" ht="12">
      <c r="A4" s="102" t="s">
        <v>112</v>
      </c>
      <c r="B4" s="99" t="s">
        <v>112</v>
      </c>
      <c r="C4" s="102">
        <v>100035</v>
      </c>
      <c r="D4" s="99">
        <v>1100035</v>
      </c>
      <c r="E4" s="102" t="s">
        <v>402</v>
      </c>
      <c r="F4" s="103" t="s">
        <v>403</v>
      </c>
      <c r="G4" s="102" t="s">
        <v>395</v>
      </c>
      <c r="H4" s="102"/>
      <c r="I4" s="102"/>
      <c r="J4" s="102"/>
      <c r="K4" s="103"/>
      <c r="L4" s="143">
        <v>1100035</v>
      </c>
      <c r="M4" s="101" t="s">
        <v>404</v>
      </c>
      <c r="N4" s="101">
        <v>1</v>
      </c>
      <c r="O4" s="101" t="s">
        <v>371</v>
      </c>
    </row>
    <row r="5" spans="1:17" s="98" customFormat="1" ht="12">
      <c r="A5" s="102" t="s">
        <v>112</v>
      </c>
      <c r="B5" s="99" t="s">
        <v>112</v>
      </c>
      <c r="C5" s="102">
        <v>100056</v>
      </c>
      <c r="D5" s="99">
        <v>1100056</v>
      </c>
      <c r="E5" s="102" t="s">
        <v>129</v>
      </c>
      <c r="F5" s="103" t="s">
        <v>405</v>
      </c>
      <c r="G5" s="102" t="s">
        <v>406</v>
      </c>
      <c r="H5" s="102"/>
      <c r="I5" s="102"/>
      <c r="J5" s="102"/>
      <c r="K5" s="103"/>
      <c r="L5" s="143">
        <v>1403003</v>
      </c>
      <c r="M5" s="101" t="s">
        <v>185</v>
      </c>
      <c r="N5" s="101">
        <v>1</v>
      </c>
      <c r="O5" s="101" t="s">
        <v>371</v>
      </c>
      <c r="P5" s="98">
        <v>403003</v>
      </c>
      <c r="Q5" s="98">
        <f>IF(C5=P5,1,2)</f>
        <v>2</v>
      </c>
    </row>
    <row r="6" spans="1:17" s="98" customFormat="1" ht="12">
      <c r="A6" s="102" t="s">
        <v>112</v>
      </c>
      <c r="B6" s="99" t="s">
        <v>112</v>
      </c>
      <c r="C6" s="102">
        <v>100057</v>
      </c>
      <c r="D6" s="99">
        <v>1100057</v>
      </c>
      <c r="E6" s="102" t="s">
        <v>130</v>
      </c>
      <c r="F6" s="103" t="s">
        <v>407</v>
      </c>
      <c r="G6" s="102" t="s">
        <v>406</v>
      </c>
      <c r="H6" s="102"/>
      <c r="I6" s="102"/>
      <c r="J6" s="102"/>
      <c r="K6" s="103"/>
      <c r="L6" s="143">
        <v>9100057</v>
      </c>
      <c r="M6" s="101" t="s">
        <v>130</v>
      </c>
      <c r="N6" s="101" t="s">
        <v>371</v>
      </c>
      <c r="O6" s="101">
        <v>1</v>
      </c>
      <c r="P6" s="98">
        <v>100057</v>
      </c>
      <c r="Q6" s="98">
        <f>IF(C6=P6,1,2)</f>
        <v>1</v>
      </c>
    </row>
    <row r="7" spans="1:17" s="98" customFormat="1" ht="12">
      <c r="A7" s="102" t="s">
        <v>112</v>
      </c>
      <c r="B7" s="99" t="s">
        <v>112</v>
      </c>
      <c r="C7" s="102">
        <v>100058</v>
      </c>
      <c r="D7" s="99">
        <v>1100058</v>
      </c>
      <c r="E7" s="102" t="s">
        <v>408</v>
      </c>
      <c r="F7" s="103" t="s">
        <v>409</v>
      </c>
      <c r="G7" s="102" t="s">
        <v>406</v>
      </c>
      <c r="H7" s="102"/>
      <c r="I7" s="99">
        <v>3100058</v>
      </c>
      <c r="J7" s="102" t="s">
        <v>410</v>
      </c>
      <c r="K7" s="103" t="s">
        <v>411</v>
      </c>
      <c r="L7" s="145">
        <v>3100058</v>
      </c>
      <c r="M7" s="101" t="s">
        <v>412</v>
      </c>
      <c r="N7" s="101">
        <v>1</v>
      </c>
      <c r="O7" s="101" t="s">
        <v>371</v>
      </c>
      <c r="P7" s="98">
        <v>100058</v>
      </c>
      <c r="Q7" s="98">
        <f>IF(C7=P7,1,2)</f>
        <v>1</v>
      </c>
    </row>
    <row r="8" spans="1:17" s="98" customFormat="1" ht="12">
      <c r="A8" s="102" t="s">
        <v>112</v>
      </c>
      <c r="B8" s="99" t="s">
        <v>112</v>
      </c>
      <c r="C8" s="102">
        <v>100059</v>
      </c>
      <c r="D8" s="99">
        <v>1100059</v>
      </c>
      <c r="E8" s="102" t="s">
        <v>413</v>
      </c>
      <c r="F8" s="103" t="s">
        <v>414</v>
      </c>
      <c r="G8" s="102" t="s">
        <v>415</v>
      </c>
      <c r="H8" s="102"/>
      <c r="I8" s="102"/>
      <c r="J8" s="102"/>
      <c r="K8" s="103"/>
      <c r="L8" s="143">
        <v>9100059</v>
      </c>
      <c r="M8" s="101" t="s">
        <v>345</v>
      </c>
      <c r="N8" s="101" t="s">
        <v>371</v>
      </c>
      <c r="O8" s="101">
        <v>1</v>
      </c>
      <c r="P8" s="98">
        <v>100059</v>
      </c>
      <c r="Q8" s="98">
        <f>IF(C8=P8,1,2)</f>
        <v>1</v>
      </c>
    </row>
    <row r="9" spans="1:17" s="98" customFormat="1" ht="12">
      <c r="A9" s="102" t="s">
        <v>112</v>
      </c>
      <c r="B9" s="99" t="s">
        <v>112</v>
      </c>
      <c r="C9" s="107">
        <v>100993</v>
      </c>
      <c r="D9" s="99"/>
      <c r="E9" s="102"/>
      <c r="F9" s="103"/>
      <c r="G9" s="102"/>
      <c r="H9" s="102"/>
      <c r="I9" s="99">
        <v>3100993</v>
      </c>
      <c r="J9" s="102" t="s">
        <v>416</v>
      </c>
      <c r="K9" s="103" t="s">
        <v>417</v>
      </c>
      <c r="L9" s="145">
        <v>3100993</v>
      </c>
      <c r="M9" s="101" t="s">
        <v>416</v>
      </c>
      <c r="N9" s="101" t="s">
        <v>371</v>
      </c>
      <c r="O9" s="101">
        <v>1</v>
      </c>
    </row>
    <row r="10" spans="1:17" s="98" customFormat="1" ht="12">
      <c r="A10" s="102" t="s">
        <v>1051</v>
      </c>
      <c r="B10" s="99" t="s">
        <v>112</v>
      </c>
      <c r="C10" s="107">
        <v>100994</v>
      </c>
      <c r="D10" s="99">
        <v>1100994</v>
      </c>
      <c r="E10" s="102" t="s">
        <v>1076</v>
      </c>
      <c r="F10" s="103" t="s">
        <v>418</v>
      </c>
      <c r="G10" s="102"/>
      <c r="H10" s="102"/>
      <c r="I10" s="102"/>
      <c r="J10" s="102"/>
      <c r="K10" s="103"/>
      <c r="L10" s="143">
        <v>1407024</v>
      </c>
      <c r="M10" s="101" t="s">
        <v>419</v>
      </c>
      <c r="N10" s="101">
        <v>1</v>
      </c>
      <c r="O10" s="101" t="s">
        <v>371</v>
      </c>
    </row>
    <row r="11" spans="1:17" s="98" customFormat="1" ht="12">
      <c r="A11" s="102" t="s">
        <v>112</v>
      </c>
      <c r="B11" s="99" t="s">
        <v>112</v>
      </c>
      <c r="C11" s="107">
        <v>100995</v>
      </c>
      <c r="D11" s="99">
        <v>1100995</v>
      </c>
      <c r="E11" s="105" t="s">
        <v>1064</v>
      </c>
      <c r="F11" s="106" t="s">
        <v>420</v>
      </c>
      <c r="G11" s="105" t="s">
        <v>406</v>
      </c>
      <c r="H11" s="102"/>
      <c r="I11" s="102"/>
      <c r="J11" s="102"/>
      <c r="K11" s="103"/>
      <c r="L11" s="143">
        <v>9100995</v>
      </c>
      <c r="M11" s="101" t="s">
        <v>421</v>
      </c>
      <c r="N11" s="101" t="s">
        <v>371</v>
      </c>
      <c r="O11" s="101">
        <v>1</v>
      </c>
      <c r="P11" s="98">
        <v>100995</v>
      </c>
      <c r="Q11" s="98">
        <f>IF(C11=P11,1,2)</f>
        <v>1</v>
      </c>
    </row>
    <row r="12" spans="1:17" s="98" customFormat="1" ht="12">
      <c r="A12" s="102" t="s">
        <v>132</v>
      </c>
      <c r="B12" s="99" t="s">
        <v>992</v>
      </c>
      <c r="C12" s="102">
        <v>201001</v>
      </c>
      <c r="D12" s="99">
        <v>1201001</v>
      </c>
      <c r="E12" s="102" t="s">
        <v>125</v>
      </c>
      <c r="F12" s="103" t="s">
        <v>422</v>
      </c>
      <c r="G12" s="102" t="s">
        <v>395</v>
      </c>
      <c r="H12" s="102"/>
      <c r="I12" s="102"/>
      <c r="J12" s="102"/>
      <c r="K12" s="103"/>
      <c r="L12" s="143">
        <v>1201001</v>
      </c>
      <c r="M12" s="101" t="s">
        <v>125</v>
      </c>
      <c r="N12" s="101" t="s">
        <v>371</v>
      </c>
      <c r="O12" s="101">
        <v>1</v>
      </c>
    </row>
    <row r="13" spans="1:17" s="98" customFormat="1" ht="12">
      <c r="A13" s="102" t="s">
        <v>132</v>
      </c>
      <c r="B13" s="99" t="s">
        <v>992</v>
      </c>
      <c r="C13" s="102">
        <v>201002</v>
      </c>
      <c r="D13" s="99">
        <v>1201002</v>
      </c>
      <c r="E13" s="102" t="s">
        <v>126</v>
      </c>
      <c r="F13" s="103" t="s">
        <v>423</v>
      </c>
      <c r="G13" s="102" t="s">
        <v>395</v>
      </c>
      <c r="H13" s="102"/>
      <c r="I13" s="99">
        <v>3201002</v>
      </c>
      <c r="J13" s="102" t="s">
        <v>424</v>
      </c>
      <c r="K13" s="103" t="s">
        <v>423</v>
      </c>
      <c r="L13" s="143">
        <v>1201002</v>
      </c>
      <c r="M13" s="101" t="s">
        <v>126</v>
      </c>
      <c r="N13" s="101">
        <v>1</v>
      </c>
      <c r="O13" s="101" t="s">
        <v>371</v>
      </c>
    </row>
    <row r="14" spans="1:17" s="98" customFormat="1" ht="12">
      <c r="A14" s="102" t="s">
        <v>132</v>
      </c>
      <c r="B14" s="99" t="s">
        <v>992</v>
      </c>
      <c r="C14" s="102">
        <v>201011</v>
      </c>
      <c r="D14" s="99">
        <v>1201011</v>
      </c>
      <c r="E14" s="102" t="s">
        <v>133</v>
      </c>
      <c r="F14" s="103" t="s">
        <v>426</v>
      </c>
      <c r="G14" s="105" t="s">
        <v>395</v>
      </c>
      <c r="H14" s="102"/>
      <c r="I14" s="99">
        <v>3201011</v>
      </c>
      <c r="J14" s="102" t="s">
        <v>427</v>
      </c>
      <c r="K14" s="103" t="s">
        <v>428</v>
      </c>
      <c r="L14" s="143">
        <v>1201010</v>
      </c>
      <c r="M14" s="101" t="s">
        <v>127</v>
      </c>
      <c r="N14" s="101">
        <v>1</v>
      </c>
      <c r="O14" s="101" t="s">
        <v>371</v>
      </c>
    </row>
    <row r="15" spans="1:17" s="98" customFormat="1" ht="12">
      <c r="A15" s="102" t="s">
        <v>132</v>
      </c>
      <c r="B15" s="99" t="s">
        <v>992</v>
      </c>
      <c r="C15" s="102">
        <v>201012</v>
      </c>
      <c r="D15" s="99">
        <v>1201012</v>
      </c>
      <c r="E15" s="102" t="s">
        <v>128</v>
      </c>
      <c r="F15" s="103" t="s">
        <v>429</v>
      </c>
      <c r="G15" s="102" t="s">
        <v>395</v>
      </c>
      <c r="H15" s="102"/>
      <c r="I15" s="102"/>
      <c r="J15" s="102"/>
      <c r="K15" s="103"/>
      <c r="L15" s="143">
        <v>1201012</v>
      </c>
      <c r="M15" s="101" t="s">
        <v>128</v>
      </c>
      <c r="N15" s="101" t="s">
        <v>371</v>
      </c>
      <c r="O15" s="101">
        <v>1</v>
      </c>
    </row>
    <row r="16" spans="1:17" s="98" customFormat="1" ht="12">
      <c r="A16" s="102" t="s">
        <v>136</v>
      </c>
      <c r="B16" s="99" t="s">
        <v>993</v>
      </c>
      <c r="C16" s="102">
        <v>202011</v>
      </c>
      <c r="D16" s="99">
        <v>1202011</v>
      </c>
      <c r="E16" s="102" t="s">
        <v>61</v>
      </c>
      <c r="F16" s="103" t="s">
        <v>431</v>
      </c>
      <c r="G16" s="102" t="s">
        <v>395</v>
      </c>
      <c r="H16" s="102"/>
      <c r="I16" s="102"/>
      <c r="J16" s="102"/>
      <c r="K16" s="103"/>
      <c r="L16" s="143">
        <v>1202011</v>
      </c>
      <c r="M16" s="101" t="s">
        <v>61</v>
      </c>
      <c r="N16" s="101" t="s">
        <v>371</v>
      </c>
      <c r="O16" s="101">
        <v>1</v>
      </c>
    </row>
    <row r="17" spans="1:17" s="98" customFormat="1" ht="12">
      <c r="A17" s="102" t="s">
        <v>136</v>
      </c>
      <c r="B17" s="99" t="s">
        <v>993</v>
      </c>
      <c r="C17" s="102">
        <v>202014</v>
      </c>
      <c r="D17" s="99">
        <v>1202014</v>
      </c>
      <c r="E17" s="102" t="s">
        <v>131</v>
      </c>
      <c r="F17" s="103" t="s">
        <v>432</v>
      </c>
      <c r="G17" s="102" t="s">
        <v>395</v>
      </c>
      <c r="H17" s="102"/>
      <c r="I17" s="99">
        <v>3202014</v>
      </c>
      <c r="J17" s="102" t="s">
        <v>433</v>
      </c>
      <c r="K17" s="103" t="s">
        <v>434</v>
      </c>
      <c r="L17" s="143">
        <v>1202014</v>
      </c>
      <c r="M17" s="101" t="s">
        <v>131</v>
      </c>
      <c r="N17" s="101" t="s">
        <v>371</v>
      </c>
      <c r="O17" s="101">
        <v>1</v>
      </c>
    </row>
    <row r="18" spans="1:17" s="98" customFormat="1" ht="12">
      <c r="A18" s="102" t="s">
        <v>136</v>
      </c>
      <c r="B18" s="99" t="s">
        <v>993</v>
      </c>
      <c r="C18" s="102">
        <v>202016</v>
      </c>
      <c r="D18" s="99">
        <v>1202016</v>
      </c>
      <c r="E18" s="102" t="s">
        <v>1077</v>
      </c>
      <c r="F18" s="103" t="s">
        <v>435</v>
      </c>
      <c r="G18" s="102"/>
      <c r="H18" s="102"/>
      <c r="I18" s="102"/>
      <c r="J18" s="102"/>
      <c r="K18" s="103"/>
      <c r="L18" s="143">
        <v>1202016</v>
      </c>
      <c r="M18" s="101" t="s">
        <v>436</v>
      </c>
      <c r="N18" s="101" t="s">
        <v>371</v>
      </c>
      <c r="O18" s="101">
        <v>1</v>
      </c>
    </row>
    <row r="19" spans="1:17" s="98" customFormat="1" ht="12">
      <c r="A19" s="102" t="s">
        <v>138</v>
      </c>
      <c r="B19" s="99" t="s">
        <v>994</v>
      </c>
      <c r="C19" s="102">
        <v>203004</v>
      </c>
      <c r="D19" s="99">
        <v>1203004</v>
      </c>
      <c r="E19" s="102" t="s">
        <v>139</v>
      </c>
      <c r="F19" s="103" t="s">
        <v>440</v>
      </c>
      <c r="G19" s="102" t="s">
        <v>441</v>
      </c>
      <c r="H19" s="102"/>
      <c r="I19" s="99">
        <v>3203004</v>
      </c>
      <c r="J19" s="102" t="s">
        <v>442</v>
      </c>
      <c r="K19" s="103" t="s">
        <v>440</v>
      </c>
      <c r="L19" s="143">
        <v>1401009</v>
      </c>
      <c r="M19" s="101" t="s">
        <v>182</v>
      </c>
      <c r="N19" s="101">
        <v>1</v>
      </c>
      <c r="O19" s="101" t="s">
        <v>371</v>
      </c>
    </row>
    <row r="20" spans="1:17" s="98" customFormat="1" ht="12">
      <c r="A20" s="102" t="s">
        <v>138</v>
      </c>
      <c r="B20" s="99" t="s">
        <v>994</v>
      </c>
      <c r="C20" s="102">
        <v>203011</v>
      </c>
      <c r="D20" s="99">
        <v>1203011</v>
      </c>
      <c r="E20" s="102" t="s">
        <v>134</v>
      </c>
      <c r="F20" s="103" t="s">
        <v>443</v>
      </c>
      <c r="G20" s="102" t="s">
        <v>395</v>
      </c>
      <c r="H20" s="102"/>
      <c r="I20" s="99">
        <v>3203011</v>
      </c>
      <c r="J20" s="102" t="s">
        <v>444</v>
      </c>
      <c r="K20" s="103" t="s">
        <v>445</v>
      </c>
      <c r="L20" s="143">
        <v>1203011</v>
      </c>
      <c r="M20" s="101" t="s">
        <v>134</v>
      </c>
      <c r="N20" s="101" t="s">
        <v>371</v>
      </c>
      <c r="O20" s="101">
        <v>1</v>
      </c>
    </row>
    <row r="21" spans="1:17" s="98" customFormat="1" ht="12">
      <c r="A21" s="102" t="s">
        <v>138</v>
      </c>
      <c r="B21" s="99" t="s">
        <v>994</v>
      </c>
      <c r="C21" s="102">
        <v>203018</v>
      </c>
      <c r="D21" s="99">
        <v>1203018</v>
      </c>
      <c r="E21" s="102" t="s">
        <v>135</v>
      </c>
      <c r="F21" s="103" t="s">
        <v>446</v>
      </c>
      <c r="G21" s="105" t="s">
        <v>395</v>
      </c>
      <c r="H21" s="102"/>
      <c r="I21" s="102"/>
      <c r="J21" s="102"/>
      <c r="K21" s="103"/>
      <c r="L21" s="143">
        <v>1203018</v>
      </c>
      <c r="M21" s="101" t="s">
        <v>135</v>
      </c>
      <c r="N21" s="101" t="s">
        <v>371</v>
      </c>
      <c r="O21" s="101">
        <v>1</v>
      </c>
    </row>
    <row r="22" spans="1:17" s="98" customFormat="1" ht="12">
      <c r="A22" s="102" t="s">
        <v>138</v>
      </c>
      <c r="B22" s="99" t="s">
        <v>994</v>
      </c>
      <c r="C22" s="107">
        <v>203990</v>
      </c>
      <c r="D22" s="99">
        <v>1203990</v>
      </c>
      <c r="E22" s="102" t="s">
        <v>1078</v>
      </c>
      <c r="F22" s="103" t="s">
        <v>449</v>
      </c>
      <c r="G22" s="102"/>
      <c r="H22" s="102"/>
      <c r="I22" s="102"/>
      <c r="J22" s="102"/>
      <c r="K22" s="103"/>
      <c r="L22" s="143">
        <v>1203990</v>
      </c>
      <c r="M22" s="101" t="s">
        <v>450</v>
      </c>
      <c r="N22" s="101" t="s">
        <v>371</v>
      </c>
      <c r="O22" s="101">
        <v>1</v>
      </c>
    </row>
    <row r="23" spans="1:17" s="98" customFormat="1" ht="12">
      <c r="A23" s="102" t="s">
        <v>1052</v>
      </c>
      <c r="B23" s="99" t="s">
        <v>994</v>
      </c>
      <c r="C23" s="107">
        <v>203991</v>
      </c>
      <c r="D23" s="99">
        <v>1203991</v>
      </c>
      <c r="E23" s="102" t="s">
        <v>451</v>
      </c>
      <c r="F23" s="103" t="s">
        <v>452</v>
      </c>
      <c r="G23" s="102" t="s">
        <v>453</v>
      </c>
      <c r="H23" s="102"/>
      <c r="I23" s="102"/>
      <c r="J23" s="102"/>
      <c r="K23" s="103"/>
      <c r="L23" s="143">
        <v>1605990</v>
      </c>
      <c r="M23" s="101" t="s">
        <v>313</v>
      </c>
      <c r="N23" s="101">
        <v>1</v>
      </c>
      <c r="O23" s="101" t="s">
        <v>371</v>
      </c>
      <c r="P23" s="98">
        <v>605990</v>
      </c>
      <c r="Q23" s="98">
        <f>IF(C23=P23,1,2)</f>
        <v>2</v>
      </c>
    </row>
    <row r="24" spans="1:17" s="98" customFormat="1" ht="12">
      <c r="A24" s="102" t="s">
        <v>138</v>
      </c>
      <c r="B24" s="99" t="s">
        <v>994</v>
      </c>
      <c r="C24" s="107">
        <v>203992</v>
      </c>
      <c r="D24" s="99">
        <v>1203992</v>
      </c>
      <c r="E24" s="102" t="s">
        <v>1079</v>
      </c>
      <c r="F24" s="103" t="s">
        <v>454</v>
      </c>
      <c r="G24" s="102"/>
      <c r="H24" s="102"/>
      <c r="I24" s="102"/>
      <c r="J24" s="102"/>
      <c r="K24" s="103"/>
      <c r="L24" s="143">
        <v>1605990</v>
      </c>
      <c r="M24" s="101" t="s">
        <v>313</v>
      </c>
      <c r="N24" s="101">
        <v>1</v>
      </c>
      <c r="O24" s="101" t="s">
        <v>371</v>
      </c>
    </row>
    <row r="25" spans="1:17" s="98" customFormat="1" ht="12">
      <c r="A25" s="102" t="s">
        <v>145</v>
      </c>
      <c r="B25" s="99" t="s">
        <v>995</v>
      </c>
      <c r="C25" s="102">
        <v>204005</v>
      </c>
      <c r="D25" s="99">
        <v>1204005</v>
      </c>
      <c r="E25" s="102" t="s">
        <v>137</v>
      </c>
      <c r="F25" s="103" t="s">
        <v>455</v>
      </c>
      <c r="G25" s="102" t="s">
        <v>395</v>
      </c>
      <c r="H25" s="102"/>
      <c r="I25" s="102"/>
      <c r="J25" s="102"/>
      <c r="K25" s="103"/>
      <c r="L25" s="143">
        <v>1204005</v>
      </c>
      <c r="M25" s="101" t="s">
        <v>137</v>
      </c>
      <c r="N25" s="101" t="s">
        <v>371</v>
      </c>
      <c r="O25" s="101">
        <v>1</v>
      </c>
    </row>
    <row r="26" spans="1:17" s="98" customFormat="1" ht="12">
      <c r="A26" s="102" t="s">
        <v>146</v>
      </c>
      <c r="B26" s="99" t="s">
        <v>996</v>
      </c>
      <c r="C26" s="102">
        <v>205006</v>
      </c>
      <c r="D26" s="99">
        <v>1205006</v>
      </c>
      <c r="E26" s="102" t="s">
        <v>458</v>
      </c>
      <c r="F26" s="103" t="s">
        <v>459</v>
      </c>
      <c r="G26" s="102" t="s">
        <v>395</v>
      </c>
      <c r="H26" s="102"/>
      <c r="I26" s="102"/>
      <c r="J26" s="102"/>
      <c r="K26" s="103"/>
      <c r="L26" s="143">
        <v>1205006</v>
      </c>
      <c r="M26" s="101" t="s">
        <v>460</v>
      </c>
      <c r="N26" s="101" t="s">
        <v>371</v>
      </c>
      <c r="O26" s="101">
        <v>1</v>
      </c>
    </row>
    <row r="27" spans="1:17" s="98" customFormat="1" ht="12">
      <c r="A27" s="102" t="s">
        <v>146</v>
      </c>
      <c r="B27" s="99" t="s">
        <v>996</v>
      </c>
      <c r="C27" s="102">
        <v>205016</v>
      </c>
      <c r="D27" s="99">
        <v>1205016</v>
      </c>
      <c r="E27" s="102" t="s">
        <v>148</v>
      </c>
      <c r="F27" s="103" t="s">
        <v>461</v>
      </c>
      <c r="G27" s="102" t="s">
        <v>406</v>
      </c>
      <c r="H27" s="102"/>
      <c r="I27" s="102"/>
      <c r="J27" s="102"/>
      <c r="K27" s="103"/>
      <c r="L27" s="143">
        <v>1205017</v>
      </c>
      <c r="M27" s="101" t="s">
        <v>140</v>
      </c>
      <c r="N27" s="101" t="s">
        <v>371</v>
      </c>
      <c r="O27" s="101">
        <v>1</v>
      </c>
      <c r="P27" s="98">
        <v>205017</v>
      </c>
      <c r="Q27" s="98">
        <f>IF(C27=P27,1,2)</f>
        <v>2</v>
      </c>
    </row>
    <row r="28" spans="1:17" s="98" customFormat="1" ht="12">
      <c r="A28" s="102" t="s">
        <v>149</v>
      </c>
      <c r="B28" s="99" t="s">
        <v>997</v>
      </c>
      <c r="C28" s="102">
        <v>206015</v>
      </c>
      <c r="D28" s="99">
        <v>1206015</v>
      </c>
      <c r="E28" s="102" t="s">
        <v>143</v>
      </c>
      <c r="F28" s="103" t="s">
        <v>463</v>
      </c>
      <c r="G28" s="102" t="s">
        <v>395</v>
      </c>
      <c r="H28" s="102"/>
      <c r="I28" s="102"/>
      <c r="J28" s="102"/>
      <c r="K28" s="103"/>
      <c r="L28" s="143">
        <v>1206015</v>
      </c>
      <c r="M28" s="101" t="s">
        <v>143</v>
      </c>
      <c r="N28" s="101" t="s">
        <v>371</v>
      </c>
      <c r="O28" s="101">
        <v>1</v>
      </c>
    </row>
    <row r="29" spans="1:17" s="98" customFormat="1" ht="12">
      <c r="A29" s="102" t="s">
        <v>149</v>
      </c>
      <c r="B29" s="99" t="s">
        <v>997</v>
      </c>
      <c r="C29" s="102">
        <v>206018</v>
      </c>
      <c r="D29" s="99"/>
      <c r="E29" s="102"/>
      <c r="F29" s="103"/>
      <c r="G29" s="102"/>
      <c r="H29" s="102"/>
      <c r="I29" s="99">
        <v>3206018</v>
      </c>
      <c r="J29" s="102" t="s">
        <v>465</v>
      </c>
      <c r="K29" s="103" t="s">
        <v>466</v>
      </c>
      <c r="L29" s="143">
        <v>1206006</v>
      </c>
      <c r="M29" s="101" t="s">
        <v>142</v>
      </c>
      <c r="N29" s="101" t="s">
        <v>371</v>
      </c>
      <c r="O29" s="101">
        <v>1</v>
      </c>
    </row>
    <row r="30" spans="1:17" s="98" customFormat="1" ht="12">
      <c r="A30" s="102" t="s">
        <v>149</v>
      </c>
      <c r="B30" s="99" t="s">
        <v>997</v>
      </c>
      <c r="C30" s="102">
        <v>206019</v>
      </c>
      <c r="D30" s="99">
        <v>1206019</v>
      </c>
      <c r="E30" s="102" t="s">
        <v>144</v>
      </c>
      <c r="F30" s="103" t="s">
        <v>467</v>
      </c>
      <c r="G30" s="102" t="s">
        <v>395</v>
      </c>
      <c r="H30" s="102"/>
      <c r="I30" s="99">
        <v>3206019</v>
      </c>
      <c r="J30" s="102" t="s">
        <v>468</v>
      </c>
      <c r="K30" s="103" t="s">
        <v>467</v>
      </c>
      <c r="L30" s="143">
        <v>1206019</v>
      </c>
      <c r="M30" s="101" t="s">
        <v>144</v>
      </c>
      <c r="N30" s="101">
        <v>1</v>
      </c>
      <c r="O30" s="101" t="s">
        <v>371</v>
      </c>
    </row>
    <row r="31" spans="1:17" s="98" customFormat="1" ht="12">
      <c r="A31" s="102" t="s">
        <v>149</v>
      </c>
      <c r="B31" s="99" t="s">
        <v>997</v>
      </c>
      <c r="C31" s="107">
        <v>206990</v>
      </c>
      <c r="D31" s="99">
        <v>1206990</v>
      </c>
      <c r="E31" s="102" t="s">
        <v>1066</v>
      </c>
      <c r="F31" s="103" t="s">
        <v>469</v>
      </c>
      <c r="G31" s="102"/>
      <c r="H31" s="102"/>
      <c r="I31" s="102"/>
      <c r="J31" s="102"/>
      <c r="K31" s="103"/>
      <c r="L31" s="143">
        <v>1206990</v>
      </c>
      <c r="M31" s="101" t="s">
        <v>470</v>
      </c>
      <c r="N31" s="101" t="s">
        <v>371</v>
      </c>
      <c r="O31" s="101">
        <v>1</v>
      </c>
    </row>
    <row r="32" spans="1:17" s="98" customFormat="1" ht="12">
      <c r="A32" s="102" t="s">
        <v>153</v>
      </c>
      <c r="B32" s="99" t="s">
        <v>998</v>
      </c>
      <c r="C32" s="102">
        <v>207009</v>
      </c>
      <c r="D32" s="99">
        <v>1207009</v>
      </c>
      <c r="E32" s="102" t="s">
        <v>147</v>
      </c>
      <c r="F32" s="103" t="s">
        <v>471</v>
      </c>
      <c r="G32" s="102" t="s">
        <v>395</v>
      </c>
      <c r="H32" s="102"/>
      <c r="I32" s="102"/>
      <c r="J32" s="102"/>
      <c r="K32" s="103"/>
      <c r="L32" s="143">
        <v>1207009</v>
      </c>
      <c r="M32" s="101" t="s">
        <v>147</v>
      </c>
      <c r="N32" s="101">
        <v>1</v>
      </c>
      <c r="O32" s="101" t="s">
        <v>371</v>
      </c>
    </row>
    <row r="33" spans="1:17" s="98" customFormat="1" ht="12">
      <c r="A33" s="102" t="s">
        <v>153</v>
      </c>
      <c r="B33" s="99" t="s">
        <v>998</v>
      </c>
      <c r="C33" s="102">
        <v>207016</v>
      </c>
      <c r="D33" s="99">
        <v>1207016</v>
      </c>
      <c r="E33" s="102" t="s">
        <v>154</v>
      </c>
      <c r="F33" s="103" t="s">
        <v>473</v>
      </c>
      <c r="G33" s="102" t="s">
        <v>406</v>
      </c>
      <c r="H33" s="102"/>
      <c r="I33" s="102"/>
      <c r="J33" s="102"/>
      <c r="K33" s="103"/>
      <c r="L33" s="143">
        <v>1207019</v>
      </c>
      <c r="M33" s="101" t="s">
        <v>474</v>
      </c>
      <c r="N33" s="101" t="s">
        <v>371</v>
      </c>
      <c r="O33" s="101">
        <v>1</v>
      </c>
      <c r="P33" s="98">
        <v>207019</v>
      </c>
      <c r="Q33" s="98">
        <f>IF(C33=P33,1,2)</f>
        <v>2</v>
      </c>
    </row>
    <row r="34" spans="1:17" s="98" customFormat="1" ht="12">
      <c r="A34" s="102" t="s">
        <v>153</v>
      </c>
      <c r="B34" s="99" t="s">
        <v>998</v>
      </c>
      <c r="C34" s="102">
        <v>207017</v>
      </c>
      <c r="D34" s="99">
        <v>1207017</v>
      </c>
      <c r="E34" s="102" t="s">
        <v>475</v>
      </c>
      <c r="F34" s="103" t="s">
        <v>476</v>
      </c>
      <c r="G34" s="102" t="s">
        <v>406</v>
      </c>
      <c r="H34" s="102"/>
      <c r="I34" s="102"/>
      <c r="J34" s="102"/>
      <c r="K34" s="103"/>
      <c r="L34" s="143">
        <v>9207017</v>
      </c>
      <c r="M34" s="101" t="s">
        <v>346</v>
      </c>
      <c r="N34" s="101" t="s">
        <v>371</v>
      </c>
      <c r="O34" s="101">
        <v>1</v>
      </c>
      <c r="P34" s="98">
        <v>207017</v>
      </c>
      <c r="Q34" s="98">
        <f>IF(C34=P34,1,2)</f>
        <v>1</v>
      </c>
    </row>
    <row r="35" spans="1:17" s="98" customFormat="1" ht="12">
      <c r="A35" s="102" t="s">
        <v>153</v>
      </c>
      <c r="B35" s="99" t="s">
        <v>998</v>
      </c>
      <c r="C35" s="102">
        <v>207018</v>
      </c>
      <c r="D35" s="99">
        <v>1207018</v>
      </c>
      <c r="E35" s="102" t="s">
        <v>477</v>
      </c>
      <c r="F35" s="103" t="s">
        <v>478</v>
      </c>
      <c r="G35" s="102" t="s">
        <v>406</v>
      </c>
      <c r="H35" s="102"/>
      <c r="I35" s="102"/>
      <c r="J35" s="102"/>
      <c r="K35" s="103"/>
      <c r="L35" s="143">
        <v>9207018</v>
      </c>
      <c r="M35" s="101" t="s">
        <v>62</v>
      </c>
      <c r="N35" s="101" t="s">
        <v>371</v>
      </c>
      <c r="O35" s="101">
        <v>1</v>
      </c>
      <c r="P35" s="98">
        <v>207018</v>
      </c>
      <c r="Q35" s="98">
        <f>IF(C35=P35,1,2)</f>
        <v>1</v>
      </c>
    </row>
    <row r="36" spans="1:17" s="98" customFormat="1" ht="12">
      <c r="A36" s="102" t="s">
        <v>155</v>
      </c>
      <c r="B36" s="99" t="s">
        <v>999</v>
      </c>
      <c r="C36" s="102">
        <v>301008</v>
      </c>
      <c r="D36" s="99">
        <v>1301008</v>
      </c>
      <c r="E36" s="102" t="s">
        <v>150</v>
      </c>
      <c r="F36" s="103" t="s">
        <v>480</v>
      </c>
      <c r="G36" s="102" t="s">
        <v>395</v>
      </c>
      <c r="H36" s="102"/>
      <c r="I36" s="102"/>
      <c r="J36" s="102"/>
      <c r="K36" s="103"/>
      <c r="L36" s="143">
        <v>1301008</v>
      </c>
      <c r="M36" s="101" t="s">
        <v>150</v>
      </c>
      <c r="N36" s="101">
        <v>1</v>
      </c>
      <c r="O36" s="101" t="s">
        <v>371</v>
      </c>
    </row>
    <row r="37" spans="1:17" s="98" customFormat="1" ht="12">
      <c r="A37" s="102" t="s">
        <v>155</v>
      </c>
      <c r="B37" s="99" t="s">
        <v>999</v>
      </c>
      <c r="C37" s="102">
        <v>301010</v>
      </c>
      <c r="D37" s="99">
        <v>1301010</v>
      </c>
      <c r="E37" s="102" t="s">
        <v>151</v>
      </c>
      <c r="F37" s="103" t="s">
        <v>481</v>
      </c>
      <c r="G37" s="102" t="s">
        <v>395</v>
      </c>
      <c r="H37" s="102"/>
      <c r="I37" s="102"/>
      <c r="J37" s="102"/>
      <c r="K37" s="103"/>
      <c r="L37" s="143">
        <v>1301010</v>
      </c>
      <c r="M37" s="101" t="s">
        <v>151</v>
      </c>
      <c r="N37" s="101" t="s">
        <v>371</v>
      </c>
      <c r="O37" s="101">
        <v>1</v>
      </c>
    </row>
    <row r="38" spans="1:17" s="98" customFormat="1" ht="12">
      <c r="A38" s="102" t="s">
        <v>155</v>
      </c>
      <c r="B38" s="99" t="s">
        <v>999</v>
      </c>
      <c r="C38" s="102">
        <v>301020</v>
      </c>
      <c r="D38" s="99">
        <v>1301020</v>
      </c>
      <c r="E38" s="102" t="s">
        <v>152</v>
      </c>
      <c r="F38" s="103" t="s">
        <v>483</v>
      </c>
      <c r="G38" s="102" t="s">
        <v>395</v>
      </c>
      <c r="H38" s="102"/>
      <c r="I38" s="102"/>
      <c r="J38" s="102"/>
      <c r="K38" s="103"/>
      <c r="L38" s="143">
        <v>1301020</v>
      </c>
      <c r="M38" s="101" t="s">
        <v>152</v>
      </c>
      <c r="N38" s="101" t="s">
        <v>371</v>
      </c>
      <c r="O38" s="101">
        <v>1</v>
      </c>
    </row>
    <row r="39" spans="1:17" s="98" customFormat="1" ht="12">
      <c r="A39" s="102" t="s">
        <v>155</v>
      </c>
      <c r="B39" s="99" t="s">
        <v>999</v>
      </c>
      <c r="C39" s="102">
        <v>301023</v>
      </c>
      <c r="D39" s="99">
        <v>1301023</v>
      </c>
      <c r="E39" s="102" t="s">
        <v>157</v>
      </c>
      <c r="F39" s="103" t="s">
        <v>484</v>
      </c>
      <c r="G39" s="102" t="s">
        <v>406</v>
      </c>
      <c r="H39" s="102"/>
      <c r="I39" s="102"/>
      <c r="J39" s="102"/>
      <c r="K39" s="103"/>
      <c r="L39" s="143">
        <v>9301023</v>
      </c>
      <c r="M39" s="101" t="s">
        <v>157</v>
      </c>
      <c r="N39" s="101" t="s">
        <v>371</v>
      </c>
      <c r="O39" s="101">
        <v>1</v>
      </c>
      <c r="P39" s="98">
        <v>301023</v>
      </c>
      <c r="Q39" s="98">
        <f>IF(C39=P39,1,2)</f>
        <v>1</v>
      </c>
    </row>
    <row r="40" spans="1:17" s="98" customFormat="1" ht="12">
      <c r="A40" s="102" t="s">
        <v>155</v>
      </c>
      <c r="B40" s="99" t="s">
        <v>999</v>
      </c>
      <c r="C40" s="102">
        <v>301025</v>
      </c>
      <c r="D40" s="99"/>
      <c r="E40" s="102"/>
      <c r="F40" s="103"/>
      <c r="G40" s="102"/>
      <c r="H40" s="102"/>
      <c r="I40" s="99">
        <v>3301025</v>
      </c>
      <c r="J40" s="102" t="s">
        <v>485</v>
      </c>
      <c r="K40" s="103" t="s">
        <v>486</v>
      </c>
      <c r="L40" s="145">
        <v>3301025</v>
      </c>
      <c r="M40" s="101" t="s">
        <v>485</v>
      </c>
      <c r="N40" s="101" t="s">
        <v>371</v>
      </c>
      <c r="O40" s="101">
        <v>1</v>
      </c>
    </row>
    <row r="41" spans="1:17" s="98" customFormat="1" ht="12">
      <c r="A41" s="102" t="s">
        <v>155</v>
      </c>
      <c r="B41" s="99" t="s">
        <v>999</v>
      </c>
      <c r="C41" s="102">
        <v>301026</v>
      </c>
      <c r="D41" s="99">
        <v>1301026</v>
      </c>
      <c r="E41" s="102" t="s">
        <v>160</v>
      </c>
      <c r="F41" s="103" t="s">
        <v>487</v>
      </c>
      <c r="G41" s="102" t="s">
        <v>406</v>
      </c>
      <c r="H41" s="102"/>
      <c r="I41" s="102"/>
      <c r="J41" s="102"/>
      <c r="K41" s="103"/>
      <c r="L41" s="143">
        <v>9301026</v>
      </c>
      <c r="M41" s="101" t="s">
        <v>160</v>
      </c>
      <c r="N41" s="101" t="s">
        <v>371</v>
      </c>
      <c r="O41" s="101">
        <v>1</v>
      </c>
      <c r="P41" s="98">
        <v>301026</v>
      </c>
      <c r="Q41" s="98">
        <f>IF(C41=P41,1,2)</f>
        <v>1</v>
      </c>
    </row>
    <row r="42" spans="1:17" s="98" customFormat="1" ht="12">
      <c r="A42" s="102" t="s">
        <v>155</v>
      </c>
      <c r="B42" s="99" t="s">
        <v>999</v>
      </c>
      <c r="C42" s="102">
        <v>301027</v>
      </c>
      <c r="D42" s="99">
        <v>1301027</v>
      </c>
      <c r="E42" s="102" t="s">
        <v>161</v>
      </c>
      <c r="F42" s="103" t="s">
        <v>488</v>
      </c>
      <c r="G42" s="102" t="s">
        <v>406</v>
      </c>
      <c r="H42" s="102"/>
      <c r="I42" s="102"/>
      <c r="J42" s="102"/>
      <c r="K42" s="103"/>
      <c r="L42" s="143">
        <v>9301027</v>
      </c>
      <c r="M42" s="101" t="s">
        <v>161</v>
      </c>
      <c r="N42" s="101" t="s">
        <v>371</v>
      </c>
      <c r="O42" s="101">
        <v>1</v>
      </c>
      <c r="P42" s="98">
        <v>301027</v>
      </c>
      <c r="Q42" s="98">
        <f>IF(C42=P42,1,2)</f>
        <v>1</v>
      </c>
    </row>
    <row r="43" spans="1:17" s="98" customFormat="1" ht="12">
      <c r="A43" s="102" t="s">
        <v>155</v>
      </c>
      <c r="B43" s="99" t="s">
        <v>999</v>
      </c>
      <c r="C43" s="102">
        <v>301028</v>
      </c>
      <c r="D43" s="99">
        <v>1301028</v>
      </c>
      <c r="E43" s="102" t="s">
        <v>163</v>
      </c>
      <c r="F43" s="103" t="s">
        <v>489</v>
      </c>
      <c r="G43" s="102" t="s">
        <v>406</v>
      </c>
      <c r="H43" s="102"/>
      <c r="I43" s="102"/>
      <c r="J43" s="102"/>
      <c r="K43" s="103"/>
      <c r="L43" s="143">
        <v>9301028</v>
      </c>
      <c r="M43" s="101" t="s">
        <v>163</v>
      </c>
      <c r="N43" s="101" t="s">
        <v>371</v>
      </c>
      <c r="O43" s="101">
        <v>1</v>
      </c>
      <c r="P43" s="98">
        <v>301028</v>
      </c>
      <c r="Q43" s="98">
        <f>IF(C43=P43,1,2)</f>
        <v>1</v>
      </c>
    </row>
    <row r="44" spans="1:17" s="98" customFormat="1" ht="31.5">
      <c r="A44" s="109" t="s">
        <v>1053</v>
      </c>
      <c r="B44" s="99" t="s">
        <v>999</v>
      </c>
      <c r="C44" s="109">
        <v>301034</v>
      </c>
      <c r="D44" s="99"/>
      <c r="E44" s="102"/>
      <c r="F44" s="103"/>
      <c r="G44" s="102"/>
      <c r="H44" s="102"/>
      <c r="I44" s="99">
        <v>3301034</v>
      </c>
      <c r="J44" s="108" t="s">
        <v>490</v>
      </c>
      <c r="K44" s="103" t="s">
        <v>491</v>
      </c>
      <c r="L44" s="145">
        <v>3301034</v>
      </c>
      <c r="M44" s="101" t="s">
        <v>492</v>
      </c>
      <c r="N44" s="101" t="s">
        <v>371</v>
      </c>
      <c r="O44" s="101">
        <v>1</v>
      </c>
    </row>
    <row r="45" spans="1:17" s="98" customFormat="1" ht="12">
      <c r="A45" s="102" t="s">
        <v>155</v>
      </c>
      <c r="B45" s="99" t="s">
        <v>999</v>
      </c>
      <c r="C45" s="102">
        <v>301036</v>
      </c>
      <c r="D45" s="99">
        <v>1301036</v>
      </c>
      <c r="E45" s="102" t="s">
        <v>493</v>
      </c>
      <c r="F45" s="103" t="s">
        <v>494</v>
      </c>
      <c r="G45" s="102" t="s">
        <v>406</v>
      </c>
      <c r="H45" s="102"/>
      <c r="I45" s="102"/>
      <c r="J45" s="102"/>
      <c r="K45" s="103"/>
      <c r="L45" s="145">
        <v>3301025</v>
      </c>
      <c r="M45" s="101" t="s">
        <v>485</v>
      </c>
      <c r="N45" s="101" t="s">
        <v>371</v>
      </c>
      <c r="O45" s="101">
        <v>1</v>
      </c>
      <c r="P45" s="98">
        <v>301025</v>
      </c>
      <c r="Q45" s="98">
        <f>IF(C45=P45,1,2)</f>
        <v>2</v>
      </c>
    </row>
    <row r="46" spans="1:17" s="98" customFormat="1" ht="12">
      <c r="A46" s="102" t="s">
        <v>1053</v>
      </c>
      <c r="B46" s="99" t="s">
        <v>999</v>
      </c>
      <c r="C46" s="107">
        <v>301990</v>
      </c>
      <c r="D46" s="99">
        <v>1301990</v>
      </c>
      <c r="E46" s="102" t="s">
        <v>495</v>
      </c>
      <c r="F46" s="103" t="s">
        <v>496</v>
      </c>
      <c r="G46" s="102" t="s">
        <v>453</v>
      </c>
      <c r="H46" s="102"/>
      <c r="I46" s="102"/>
      <c r="J46" s="102"/>
      <c r="K46" s="103"/>
      <c r="L46" s="143">
        <v>1908992</v>
      </c>
      <c r="M46" s="101" t="s">
        <v>320</v>
      </c>
      <c r="N46" s="101" t="s">
        <v>371</v>
      </c>
      <c r="O46" s="101">
        <v>1</v>
      </c>
      <c r="P46" s="98">
        <v>908992</v>
      </c>
      <c r="Q46" s="98">
        <f>IF(C46=P46,1,2)</f>
        <v>2</v>
      </c>
    </row>
    <row r="47" spans="1:17" s="98" customFormat="1" ht="12">
      <c r="A47" s="102" t="s">
        <v>1053</v>
      </c>
      <c r="B47" s="99" t="s">
        <v>999</v>
      </c>
      <c r="C47" s="107">
        <v>301991</v>
      </c>
      <c r="D47" s="99">
        <v>1301991</v>
      </c>
      <c r="E47" s="102" t="s">
        <v>497</v>
      </c>
      <c r="F47" s="103" t="s">
        <v>498</v>
      </c>
      <c r="G47" s="102" t="s">
        <v>453</v>
      </c>
      <c r="H47" s="102"/>
      <c r="I47" s="102"/>
      <c r="J47" s="102"/>
      <c r="K47" s="103"/>
      <c r="L47" s="143">
        <v>1203021</v>
      </c>
      <c r="M47" s="101" t="s">
        <v>448</v>
      </c>
      <c r="N47" s="101">
        <v>1</v>
      </c>
      <c r="O47" s="101" t="s">
        <v>371</v>
      </c>
      <c r="P47" s="98">
        <v>203021</v>
      </c>
      <c r="Q47" s="98">
        <f>IF(C47=P47,1,2)</f>
        <v>2</v>
      </c>
    </row>
    <row r="48" spans="1:17" s="98" customFormat="1" ht="12">
      <c r="A48" s="102" t="s">
        <v>155</v>
      </c>
      <c r="B48" s="99" t="s">
        <v>999</v>
      </c>
      <c r="C48" s="107">
        <v>301992</v>
      </c>
      <c r="D48" s="99">
        <v>1301992</v>
      </c>
      <c r="E48" s="105" t="s">
        <v>1071</v>
      </c>
      <c r="F48" s="106" t="s">
        <v>499</v>
      </c>
      <c r="G48" s="105" t="s">
        <v>406</v>
      </c>
      <c r="H48" s="102"/>
      <c r="I48" s="102"/>
      <c r="J48" s="102"/>
      <c r="K48" s="103"/>
      <c r="L48" s="143">
        <v>1605990</v>
      </c>
      <c r="M48" s="101" t="s">
        <v>313</v>
      </c>
      <c r="N48" s="101">
        <v>1</v>
      </c>
      <c r="O48" s="101" t="s">
        <v>371</v>
      </c>
      <c r="P48" s="98">
        <v>605990</v>
      </c>
      <c r="Q48" s="98">
        <f>IF(C48=P48,1,2)</f>
        <v>2</v>
      </c>
    </row>
    <row r="49" spans="1:17" s="98" customFormat="1" ht="12">
      <c r="A49" s="102" t="s">
        <v>164</v>
      </c>
      <c r="B49" s="99" t="s">
        <v>1000</v>
      </c>
      <c r="C49" s="107">
        <v>302990</v>
      </c>
      <c r="D49" s="99">
        <v>1302990</v>
      </c>
      <c r="E49" s="102" t="s">
        <v>500</v>
      </c>
      <c r="F49" s="103" t="s">
        <v>501</v>
      </c>
      <c r="G49" s="102" t="s">
        <v>415</v>
      </c>
      <c r="H49" s="102"/>
      <c r="I49" s="102"/>
      <c r="J49" s="102"/>
      <c r="K49" s="103"/>
      <c r="L49" s="143">
        <v>9302990</v>
      </c>
      <c r="M49" s="101" t="s">
        <v>347</v>
      </c>
      <c r="N49" s="101" t="s">
        <v>371</v>
      </c>
      <c r="O49" s="101">
        <v>1</v>
      </c>
      <c r="P49" s="98">
        <v>302990</v>
      </c>
      <c r="Q49" s="98">
        <f>IF(C49=P49,1,2)</f>
        <v>1</v>
      </c>
    </row>
    <row r="50" spans="1:17" s="98" customFormat="1" ht="12">
      <c r="A50" s="102" t="s">
        <v>168</v>
      </c>
      <c r="B50" s="99" t="s">
        <v>1001</v>
      </c>
      <c r="C50" s="107">
        <v>303991</v>
      </c>
      <c r="D50" s="99">
        <v>1303991</v>
      </c>
      <c r="E50" s="102" t="s">
        <v>1080</v>
      </c>
      <c r="F50" s="103" t="s">
        <v>502</v>
      </c>
      <c r="G50" s="102"/>
      <c r="H50" s="102"/>
      <c r="I50" s="102"/>
      <c r="J50" s="102"/>
      <c r="K50" s="103"/>
      <c r="L50" s="143">
        <v>1303991</v>
      </c>
      <c r="M50" s="101" t="s">
        <v>503</v>
      </c>
      <c r="N50" s="101" t="s">
        <v>371</v>
      </c>
      <c r="O50" s="101">
        <v>1</v>
      </c>
    </row>
    <row r="51" spans="1:17" s="98" customFormat="1" ht="12">
      <c r="A51" s="102" t="s">
        <v>169</v>
      </c>
      <c r="B51" s="99" t="s">
        <v>1002</v>
      </c>
      <c r="C51" s="102">
        <v>304011</v>
      </c>
      <c r="D51" s="99">
        <v>1304011</v>
      </c>
      <c r="E51" s="102" t="s">
        <v>156</v>
      </c>
      <c r="F51" s="103" t="s">
        <v>504</v>
      </c>
      <c r="G51" s="102" t="s">
        <v>395</v>
      </c>
      <c r="H51" s="102"/>
      <c r="I51" s="99">
        <v>3304011</v>
      </c>
      <c r="J51" s="102" t="s">
        <v>505</v>
      </c>
      <c r="K51" s="103" t="s">
        <v>504</v>
      </c>
      <c r="L51" s="143">
        <v>1304011</v>
      </c>
      <c r="M51" s="101" t="s">
        <v>156</v>
      </c>
      <c r="N51" s="101" t="s">
        <v>371</v>
      </c>
      <c r="O51" s="101">
        <v>1</v>
      </c>
    </row>
    <row r="52" spans="1:17" s="98" customFormat="1" ht="12">
      <c r="A52" s="102" t="s">
        <v>169</v>
      </c>
      <c r="B52" s="99" t="s">
        <v>1002</v>
      </c>
      <c r="C52" s="102">
        <v>304041</v>
      </c>
      <c r="D52" s="99">
        <v>1304041</v>
      </c>
      <c r="E52" s="102" t="s">
        <v>158</v>
      </c>
      <c r="F52" s="103" t="s">
        <v>508</v>
      </c>
      <c r="G52" s="102" t="s">
        <v>398</v>
      </c>
      <c r="H52" s="102"/>
      <c r="I52" s="99">
        <v>3304041</v>
      </c>
      <c r="J52" s="102" t="s">
        <v>509</v>
      </c>
      <c r="K52" s="103" t="s">
        <v>508</v>
      </c>
      <c r="L52" s="143">
        <v>1304041</v>
      </c>
      <c r="M52" s="101" t="s">
        <v>158</v>
      </c>
      <c r="N52" s="101">
        <v>1</v>
      </c>
      <c r="O52" s="101" t="s">
        <v>371</v>
      </c>
    </row>
    <row r="53" spans="1:17" s="98" customFormat="1" ht="12">
      <c r="A53" s="102" t="s">
        <v>169</v>
      </c>
      <c r="B53" s="99" t="s">
        <v>1002</v>
      </c>
      <c r="C53" s="102">
        <v>304047</v>
      </c>
      <c r="D53" s="99">
        <v>1304047</v>
      </c>
      <c r="E53" s="102" t="s">
        <v>162</v>
      </c>
      <c r="F53" s="103" t="s">
        <v>510</v>
      </c>
      <c r="G53" s="102" t="s">
        <v>395</v>
      </c>
      <c r="H53" s="102"/>
      <c r="I53" s="99">
        <v>3304047</v>
      </c>
      <c r="J53" s="105" t="s">
        <v>511</v>
      </c>
      <c r="K53" s="103" t="s">
        <v>512</v>
      </c>
      <c r="L53" s="143">
        <v>1304047</v>
      </c>
      <c r="M53" s="101" t="s">
        <v>162</v>
      </c>
      <c r="N53" s="101">
        <v>1</v>
      </c>
      <c r="O53" s="101" t="s">
        <v>371</v>
      </c>
    </row>
    <row r="54" spans="1:17" s="98" customFormat="1" ht="12">
      <c r="A54" s="102" t="s">
        <v>169</v>
      </c>
      <c r="B54" s="99" t="s">
        <v>1002</v>
      </c>
      <c r="C54" s="102">
        <v>304050</v>
      </c>
      <c r="D54" s="99">
        <v>1304050</v>
      </c>
      <c r="E54" s="102" t="s">
        <v>170</v>
      </c>
      <c r="F54" s="103" t="s">
        <v>513</v>
      </c>
      <c r="G54" s="102" t="s">
        <v>406</v>
      </c>
      <c r="H54" s="102"/>
      <c r="I54" s="102"/>
      <c r="J54" s="102"/>
      <c r="K54" s="103"/>
      <c r="L54" s="143">
        <v>9304050</v>
      </c>
      <c r="M54" s="101" t="s">
        <v>170</v>
      </c>
      <c r="N54" s="101">
        <v>1</v>
      </c>
      <c r="O54" s="101" t="s">
        <v>371</v>
      </c>
      <c r="P54" s="98">
        <v>304050</v>
      </c>
      <c r="Q54" s="98">
        <f t="shared" ref="Q54:Q62" si="0">IF(C54=P54,1,2)</f>
        <v>1</v>
      </c>
    </row>
    <row r="55" spans="1:17" s="98" customFormat="1" ht="12">
      <c r="A55" s="102" t="s">
        <v>169</v>
      </c>
      <c r="B55" s="99" t="s">
        <v>1002</v>
      </c>
      <c r="C55" s="102">
        <v>304051</v>
      </c>
      <c r="D55" s="99">
        <v>1304051</v>
      </c>
      <c r="E55" s="102" t="s">
        <v>171</v>
      </c>
      <c r="F55" s="103" t="s">
        <v>514</v>
      </c>
      <c r="G55" s="102" t="s">
        <v>406</v>
      </c>
      <c r="H55" s="102"/>
      <c r="I55" s="102"/>
      <c r="J55" s="102"/>
      <c r="K55" s="103"/>
      <c r="L55" s="143">
        <v>9304051</v>
      </c>
      <c r="M55" s="101" t="s">
        <v>171</v>
      </c>
      <c r="N55" s="101" t="s">
        <v>371</v>
      </c>
      <c r="O55" s="101">
        <v>1</v>
      </c>
      <c r="P55" s="98">
        <v>304051</v>
      </c>
      <c r="Q55" s="98">
        <f t="shared" si="0"/>
        <v>1</v>
      </c>
    </row>
    <row r="56" spans="1:17" s="98" customFormat="1" ht="12">
      <c r="A56" s="102" t="s">
        <v>169</v>
      </c>
      <c r="B56" s="99" t="s">
        <v>1002</v>
      </c>
      <c r="C56" s="102">
        <v>304053</v>
      </c>
      <c r="D56" s="99">
        <v>1304053</v>
      </c>
      <c r="E56" s="102" t="s">
        <v>172</v>
      </c>
      <c r="F56" s="103" t="s">
        <v>515</v>
      </c>
      <c r="G56" s="102" t="s">
        <v>406</v>
      </c>
      <c r="H56" s="102"/>
      <c r="I56" s="102"/>
      <c r="J56" s="102"/>
      <c r="K56" s="103"/>
      <c r="L56" s="143">
        <v>9304053</v>
      </c>
      <c r="M56" s="101" t="s">
        <v>172</v>
      </c>
      <c r="N56" s="101" t="s">
        <v>371</v>
      </c>
      <c r="O56" s="101">
        <v>1</v>
      </c>
      <c r="P56" s="98">
        <v>304053</v>
      </c>
      <c r="Q56" s="98">
        <f t="shared" si="0"/>
        <v>1</v>
      </c>
    </row>
    <row r="57" spans="1:17" s="98" customFormat="1" ht="12">
      <c r="A57" s="102" t="s">
        <v>169</v>
      </c>
      <c r="B57" s="99" t="s">
        <v>1002</v>
      </c>
      <c r="C57" s="102">
        <v>304054</v>
      </c>
      <c r="D57" s="99">
        <v>1304054</v>
      </c>
      <c r="E57" s="102" t="s">
        <v>516</v>
      </c>
      <c r="F57" s="103" t="s">
        <v>517</v>
      </c>
      <c r="G57" s="102" t="s">
        <v>406</v>
      </c>
      <c r="H57" s="102"/>
      <c r="I57" s="102"/>
      <c r="J57" s="102"/>
      <c r="K57" s="103"/>
      <c r="L57" s="143">
        <v>1305061</v>
      </c>
      <c r="M57" s="101" t="s">
        <v>188</v>
      </c>
      <c r="N57" s="101" t="s">
        <v>371</v>
      </c>
      <c r="O57" s="101">
        <v>1</v>
      </c>
      <c r="P57" s="98">
        <v>305061</v>
      </c>
      <c r="Q57" s="98">
        <f t="shared" si="0"/>
        <v>2</v>
      </c>
    </row>
    <row r="58" spans="1:17" s="98" customFormat="1" ht="12">
      <c r="A58" s="102" t="s">
        <v>169</v>
      </c>
      <c r="B58" s="99" t="s">
        <v>1002</v>
      </c>
      <c r="C58" s="107">
        <v>304990</v>
      </c>
      <c r="D58" s="99">
        <v>1304990</v>
      </c>
      <c r="E58" s="102" t="s">
        <v>173</v>
      </c>
      <c r="F58" s="103" t="s">
        <v>518</v>
      </c>
      <c r="G58" s="102" t="s">
        <v>406</v>
      </c>
      <c r="H58" s="102"/>
      <c r="I58" s="102"/>
      <c r="J58" s="102"/>
      <c r="K58" s="103"/>
      <c r="L58" s="143">
        <v>1304043</v>
      </c>
      <c r="M58" s="101" t="s">
        <v>159</v>
      </c>
      <c r="N58" s="101" t="s">
        <v>371</v>
      </c>
      <c r="O58" s="101">
        <v>1</v>
      </c>
      <c r="P58" s="98">
        <v>304043</v>
      </c>
      <c r="Q58" s="98">
        <f t="shared" si="0"/>
        <v>2</v>
      </c>
    </row>
    <row r="59" spans="1:17" s="98" customFormat="1" ht="12">
      <c r="A59" s="102" t="s">
        <v>169</v>
      </c>
      <c r="B59" s="99" t="s">
        <v>1002</v>
      </c>
      <c r="C59" s="107">
        <v>304991</v>
      </c>
      <c r="D59" s="99">
        <v>1304991</v>
      </c>
      <c r="E59" s="102" t="s">
        <v>174</v>
      </c>
      <c r="F59" s="103" t="s">
        <v>519</v>
      </c>
      <c r="G59" s="102" t="s">
        <v>406</v>
      </c>
      <c r="H59" s="102"/>
      <c r="I59" s="102"/>
      <c r="J59" s="102"/>
      <c r="K59" s="103"/>
      <c r="L59" s="143">
        <v>9304991</v>
      </c>
      <c r="M59" s="101" t="s">
        <v>174</v>
      </c>
      <c r="N59" s="101" t="s">
        <v>371</v>
      </c>
      <c r="O59" s="101">
        <v>1</v>
      </c>
      <c r="P59" s="98">
        <v>304991</v>
      </c>
      <c r="Q59" s="98">
        <f t="shared" si="0"/>
        <v>1</v>
      </c>
    </row>
    <row r="60" spans="1:17" s="98" customFormat="1" ht="12">
      <c r="A60" s="102" t="s">
        <v>169</v>
      </c>
      <c r="B60" s="99" t="s">
        <v>1002</v>
      </c>
      <c r="C60" s="107">
        <v>304992</v>
      </c>
      <c r="D60" s="99">
        <v>1304992</v>
      </c>
      <c r="E60" s="102" t="s">
        <v>175</v>
      </c>
      <c r="F60" s="103" t="s">
        <v>520</v>
      </c>
      <c r="G60" s="102" t="s">
        <v>406</v>
      </c>
      <c r="H60" s="102"/>
      <c r="I60" s="102"/>
      <c r="J60" s="102"/>
      <c r="K60" s="103"/>
      <c r="L60" s="143">
        <v>1304991</v>
      </c>
      <c r="M60" s="101" t="s">
        <v>174</v>
      </c>
      <c r="N60" s="101" t="s">
        <v>371</v>
      </c>
      <c r="O60" s="101">
        <v>1</v>
      </c>
      <c r="P60" s="98">
        <v>304991</v>
      </c>
      <c r="Q60" s="98">
        <f t="shared" si="0"/>
        <v>2</v>
      </c>
    </row>
    <row r="61" spans="1:17" s="98" customFormat="1" ht="12">
      <c r="A61" s="102" t="s">
        <v>169</v>
      </c>
      <c r="B61" s="99" t="s">
        <v>1002</v>
      </c>
      <c r="C61" s="107">
        <v>304993</v>
      </c>
      <c r="D61" s="99">
        <v>1304993</v>
      </c>
      <c r="E61" s="102" t="s">
        <v>177</v>
      </c>
      <c r="F61" s="103" t="s">
        <v>521</v>
      </c>
      <c r="G61" s="102" t="s">
        <v>406</v>
      </c>
      <c r="H61" s="102"/>
      <c r="I61" s="102"/>
      <c r="J61" s="102"/>
      <c r="K61" s="103"/>
      <c r="L61" s="143">
        <v>1304991</v>
      </c>
      <c r="M61" s="101" t="s">
        <v>174</v>
      </c>
      <c r="N61" s="101" t="s">
        <v>371</v>
      </c>
      <c r="O61" s="101">
        <v>1</v>
      </c>
      <c r="P61" s="98">
        <v>304991</v>
      </c>
      <c r="Q61" s="98">
        <f t="shared" si="0"/>
        <v>2</v>
      </c>
    </row>
    <row r="62" spans="1:17" s="98" customFormat="1" ht="12">
      <c r="A62" s="102" t="s">
        <v>169</v>
      </c>
      <c r="B62" s="99" t="s">
        <v>1002</v>
      </c>
      <c r="C62" s="107">
        <v>304994</v>
      </c>
      <c r="D62" s="99">
        <v>1304994</v>
      </c>
      <c r="E62" s="102" t="s">
        <v>179</v>
      </c>
      <c r="F62" s="103" t="s">
        <v>439</v>
      </c>
      <c r="G62" s="102" t="s">
        <v>406</v>
      </c>
      <c r="H62" s="102"/>
      <c r="I62" s="102"/>
      <c r="J62" s="102"/>
      <c r="K62" s="103"/>
      <c r="L62" s="143">
        <v>9304994</v>
      </c>
      <c r="M62" s="101" t="s">
        <v>179</v>
      </c>
      <c r="N62" s="101" t="s">
        <v>371</v>
      </c>
      <c r="O62" s="101">
        <v>1</v>
      </c>
      <c r="P62" s="98">
        <v>304994</v>
      </c>
      <c r="Q62" s="98">
        <f t="shared" si="0"/>
        <v>1</v>
      </c>
    </row>
    <row r="63" spans="1:17" s="98" customFormat="1" ht="12">
      <c r="A63" s="102" t="s">
        <v>169</v>
      </c>
      <c r="B63" s="99" t="s">
        <v>1002</v>
      </c>
      <c r="C63" s="107">
        <v>304995</v>
      </c>
      <c r="D63" s="99">
        <v>1304995</v>
      </c>
      <c r="E63" s="102" t="s">
        <v>1081</v>
      </c>
      <c r="F63" s="103" t="s">
        <v>522</v>
      </c>
      <c r="G63" s="102"/>
      <c r="H63" s="102"/>
      <c r="I63" s="99">
        <v>3304995</v>
      </c>
      <c r="J63" s="102" t="s">
        <v>523</v>
      </c>
      <c r="K63" s="103" t="s">
        <v>522</v>
      </c>
      <c r="L63" s="143">
        <v>1804991</v>
      </c>
      <c r="M63" s="101" t="s">
        <v>524</v>
      </c>
      <c r="N63" s="101" t="s">
        <v>371</v>
      </c>
      <c r="O63" s="101">
        <v>1</v>
      </c>
    </row>
    <row r="64" spans="1:17" s="98" customFormat="1" ht="12">
      <c r="A64" s="102" t="s">
        <v>180</v>
      </c>
      <c r="B64" s="99" t="s">
        <v>1003</v>
      </c>
      <c r="C64" s="102">
        <v>305015</v>
      </c>
      <c r="D64" s="99">
        <v>1305015</v>
      </c>
      <c r="E64" s="102" t="s">
        <v>165</v>
      </c>
      <c r="F64" s="103" t="s">
        <v>525</v>
      </c>
      <c r="G64" s="102" t="s">
        <v>395</v>
      </c>
      <c r="H64" s="102"/>
      <c r="I64" s="99">
        <v>3305015</v>
      </c>
      <c r="J64" s="102" t="s">
        <v>526</v>
      </c>
      <c r="K64" s="103" t="s">
        <v>525</v>
      </c>
      <c r="L64" s="143">
        <v>1305015</v>
      </c>
      <c r="M64" s="101" t="s">
        <v>165</v>
      </c>
      <c r="N64" s="101">
        <v>1</v>
      </c>
      <c r="O64" s="101" t="s">
        <v>371</v>
      </c>
    </row>
    <row r="65" spans="1:17" s="98" customFormat="1" ht="12">
      <c r="A65" s="102" t="s">
        <v>180</v>
      </c>
      <c r="B65" s="99" t="s">
        <v>1003</v>
      </c>
      <c r="C65" s="102">
        <v>305019</v>
      </c>
      <c r="D65" s="99">
        <v>1305019</v>
      </c>
      <c r="E65" s="102" t="s">
        <v>166</v>
      </c>
      <c r="F65" s="103" t="s">
        <v>527</v>
      </c>
      <c r="G65" s="102" t="s">
        <v>395</v>
      </c>
      <c r="H65" s="102" t="s">
        <v>415</v>
      </c>
      <c r="I65" s="102"/>
      <c r="J65" s="102"/>
      <c r="K65" s="103"/>
      <c r="L65" s="143">
        <v>1305019</v>
      </c>
      <c r="M65" s="101" t="s">
        <v>166</v>
      </c>
      <c r="N65" s="101" t="s">
        <v>371</v>
      </c>
      <c r="O65" s="101">
        <v>1</v>
      </c>
    </row>
    <row r="66" spans="1:17" s="98" customFormat="1" ht="12">
      <c r="A66" s="102" t="s">
        <v>180</v>
      </c>
      <c r="B66" s="99" t="s">
        <v>1003</v>
      </c>
      <c r="C66" s="102">
        <v>305020</v>
      </c>
      <c r="D66" s="99">
        <v>1305020</v>
      </c>
      <c r="E66" s="102" t="s">
        <v>167</v>
      </c>
      <c r="F66" s="103" t="s">
        <v>528</v>
      </c>
      <c r="G66" s="102" t="s">
        <v>441</v>
      </c>
      <c r="H66" s="102"/>
      <c r="I66" s="102"/>
      <c r="J66" s="102"/>
      <c r="K66" s="103"/>
      <c r="L66" s="143">
        <v>1305020</v>
      </c>
      <c r="M66" s="101" t="s">
        <v>167</v>
      </c>
      <c r="N66" s="101" t="s">
        <v>371</v>
      </c>
      <c r="O66" s="101">
        <v>1</v>
      </c>
    </row>
    <row r="67" spans="1:17" s="98" customFormat="1" ht="12">
      <c r="A67" s="102" t="s">
        <v>180</v>
      </c>
      <c r="B67" s="99" t="s">
        <v>1003</v>
      </c>
      <c r="C67" s="102">
        <v>305023</v>
      </c>
      <c r="D67" s="99">
        <v>1305023</v>
      </c>
      <c r="E67" s="102" t="s">
        <v>529</v>
      </c>
      <c r="F67" s="103" t="s">
        <v>530</v>
      </c>
      <c r="G67" s="102" t="s">
        <v>395</v>
      </c>
      <c r="H67" s="102"/>
      <c r="I67" s="102"/>
      <c r="J67" s="102"/>
      <c r="K67" s="103"/>
      <c r="L67" s="143">
        <v>1305023</v>
      </c>
      <c r="M67" s="101" t="s">
        <v>531</v>
      </c>
      <c r="N67" s="101" t="s">
        <v>371</v>
      </c>
      <c r="O67" s="101">
        <v>1</v>
      </c>
    </row>
    <row r="68" spans="1:17" s="98" customFormat="1" ht="12">
      <c r="A68" s="102" t="s">
        <v>180</v>
      </c>
      <c r="B68" s="99" t="s">
        <v>1003</v>
      </c>
      <c r="C68" s="102">
        <v>305059</v>
      </c>
      <c r="D68" s="99">
        <v>1305059</v>
      </c>
      <c r="E68" s="102" t="s">
        <v>187</v>
      </c>
      <c r="F68" s="103" t="s">
        <v>533</v>
      </c>
      <c r="G68" s="102" t="s">
        <v>406</v>
      </c>
      <c r="H68" s="102"/>
      <c r="I68" s="102"/>
      <c r="J68" s="102"/>
      <c r="K68" s="103"/>
      <c r="L68" s="143">
        <v>9305059</v>
      </c>
      <c r="M68" s="101" t="s">
        <v>187</v>
      </c>
      <c r="N68" s="101" t="s">
        <v>371</v>
      </c>
      <c r="O68" s="101">
        <v>1</v>
      </c>
      <c r="P68" s="98">
        <v>305059</v>
      </c>
      <c r="Q68" s="98">
        <f>IF(C68=P68,1,2)</f>
        <v>1</v>
      </c>
    </row>
    <row r="69" spans="1:17" s="98" customFormat="1" ht="12">
      <c r="A69" s="102" t="s">
        <v>180</v>
      </c>
      <c r="B69" s="99" t="s">
        <v>1003</v>
      </c>
      <c r="C69" s="102">
        <v>305061</v>
      </c>
      <c r="D69" s="99">
        <v>1305061</v>
      </c>
      <c r="E69" s="102" t="s">
        <v>188</v>
      </c>
      <c r="F69" s="103" t="s">
        <v>534</v>
      </c>
      <c r="G69" s="102" t="s">
        <v>406</v>
      </c>
      <c r="H69" s="102"/>
      <c r="I69" s="102"/>
      <c r="J69" s="102"/>
      <c r="K69" s="103"/>
      <c r="L69" s="143">
        <v>9305061</v>
      </c>
      <c r="M69" s="101" t="s">
        <v>188</v>
      </c>
      <c r="N69" s="101" t="s">
        <v>371</v>
      </c>
      <c r="O69" s="101">
        <v>1</v>
      </c>
      <c r="P69" s="98">
        <v>305061</v>
      </c>
      <c r="Q69" s="98">
        <f>IF(C69=P69,1,2)</f>
        <v>1</v>
      </c>
    </row>
    <row r="70" spans="1:17" s="98" customFormat="1" ht="12">
      <c r="A70" s="102" t="s">
        <v>180</v>
      </c>
      <c r="B70" s="99" t="s">
        <v>1003</v>
      </c>
      <c r="C70" s="102">
        <v>305062</v>
      </c>
      <c r="D70" s="99">
        <v>1305062</v>
      </c>
      <c r="E70" s="102" t="s">
        <v>189</v>
      </c>
      <c r="F70" s="103" t="s">
        <v>535</v>
      </c>
      <c r="G70" s="102" t="s">
        <v>406</v>
      </c>
      <c r="H70" s="102"/>
      <c r="I70" s="102"/>
      <c r="J70" s="102"/>
      <c r="K70" s="103"/>
      <c r="L70" s="143">
        <v>9305062</v>
      </c>
      <c r="M70" s="101" t="s">
        <v>189</v>
      </c>
      <c r="N70" s="101" t="s">
        <v>371</v>
      </c>
      <c r="O70" s="101">
        <v>1</v>
      </c>
      <c r="P70" s="98">
        <v>305062</v>
      </c>
      <c r="Q70" s="98">
        <f>IF(C70=P70,1,2)</f>
        <v>1</v>
      </c>
    </row>
    <row r="71" spans="1:17" s="98" customFormat="1" ht="12">
      <c r="A71" s="102" t="s">
        <v>180</v>
      </c>
      <c r="B71" s="99" t="s">
        <v>1003</v>
      </c>
      <c r="C71" s="102">
        <v>305063</v>
      </c>
      <c r="D71" s="99">
        <v>1305063</v>
      </c>
      <c r="E71" s="102" t="s">
        <v>190</v>
      </c>
      <c r="F71" s="103" t="s">
        <v>536</v>
      </c>
      <c r="G71" s="102" t="s">
        <v>406</v>
      </c>
      <c r="H71" s="102"/>
      <c r="I71" s="102"/>
      <c r="J71" s="102"/>
      <c r="K71" s="103"/>
      <c r="L71" s="143">
        <v>9305063</v>
      </c>
      <c r="M71" s="101" t="s">
        <v>190</v>
      </c>
      <c r="N71" s="101" t="s">
        <v>371</v>
      </c>
      <c r="O71" s="101">
        <v>1</v>
      </c>
      <c r="P71" s="98">
        <v>305063</v>
      </c>
      <c r="Q71" s="98">
        <f>IF(C71=P71,1,2)</f>
        <v>1</v>
      </c>
    </row>
    <row r="72" spans="1:17" s="98" customFormat="1" ht="12">
      <c r="A72" s="102" t="s">
        <v>180</v>
      </c>
      <c r="B72" s="99" t="s">
        <v>1003</v>
      </c>
      <c r="C72" s="102">
        <v>305064</v>
      </c>
      <c r="D72" s="99">
        <v>1305064</v>
      </c>
      <c r="E72" s="102" t="s">
        <v>537</v>
      </c>
      <c r="F72" s="103" t="s">
        <v>538</v>
      </c>
      <c r="G72" s="102" t="s">
        <v>415</v>
      </c>
      <c r="H72" s="102"/>
      <c r="I72" s="102"/>
      <c r="J72" s="102"/>
      <c r="K72" s="103"/>
      <c r="L72" s="143">
        <v>9305064</v>
      </c>
      <c r="M72" s="101" t="s">
        <v>348</v>
      </c>
      <c r="N72" s="101" t="s">
        <v>371</v>
      </c>
      <c r="O72" s="101">
        <v>1</v>
      </c>
      <c r="P72" s="98">
        <v>305064</v>
      </c>
      <c r="Q72" s="98">
        <f>IF(C72=P72,1,2)</f>
        <v>1</v>
      </c>
    </row>
    <row r="73" spans="1:17" s="98" customFormat="1" ht="12">
      <c r="A73" s="109" t="s">
        <v>180</v>
      </c>
      <c r="B73" s="99" t="s">
        <v>1003</v>
      </c>
      <c r="C73" s="109">
        <v>305065</v>
      </c>
      <c r="D73" s="99"/>
      <c r="E73" s="102"/>
      <c r="F73" s="103"/>
      <c r="G73" s="102"/>
      <c r="H73" s="102"/>
      <c r="I73" s="99">
        <v>3305065</v>
      </c>
      <c r="J73" s="102" t="s">
        <v>540</v>
      </c>
      <c r="K73" s="103" t="s">
        <v>541</v>
      </c>
      <c r="L73" s="143">
        <v>5305065</v>
      </c>
      <c r="M73" s="101" t="s">
        <v>539</v>
      </c>
      <c r="N73" s="101">
        <v>1</v>
      </c>
      <c r="O73" s="101" t="s">
        <v>371</v>
      </c>
    </row>
    <row r="74" spans="1:17" s="98" customFormat="1" ht="12">
      <c r="A74" s="102" t="s">
        <v>180</v>
      </c>
      <c r="B74" s="99" t="s">
        <v>1003</v>
      </c>
      <c r="C74" s="102">
        <v>305066</v>
      </c>
      <c r="D74" s="99">
        <v>1305066</v>
      </c>
      <c r="E74" s="102" t="s">
        <v>542</v>
      </c>
      <c r="F74" s="103" t="s">
        <v>543</v>
      </c>
      <c r="G74" s="102" t="s">
        <v>415</v>
      </c>
      <c r="H74" s="102"/>
      <c r="I74" s="102"/>
      <c r="J74" s="102"/>
      <c r="K74" s="103"/>
      <c r="L74" s="143">
        <v>9305066</v>
      </c>
      <c r="M74" s="101" t="s">
        <v>191</v>
      </c>
      <c r="N74" s="101" t="s">
        <v>371</v>
      </c>
      <c r="O74" s="101">
        <v>1</v>
      </c>
      <c r="P74" s="98">
        <v>305066</v>
      </c>
      <c r="Q74" s="98">
        <f>IF(C74=P74,1,2)</f>
        <v>1</v>
      </c>
    </row>
    <row r="75" spans="1:17" s="98" customFormat="1" ht="12">
      <c r="A75" s="102" t="s">
        <v>180</v>
      </c>
      <c r="B75" s="99" t="s">
        <v>1003</v>
      </c>
      <c r="C75" s="102">
        <v>305067</v>
      </c>
      <c r="D75" s="99">
        <v>1305067</v>
      </c>
      <c r="E75" s="102" t="s">
        <v>544</v>
      </c>
      <c r="F75" s="103" t="s">
        <v>545</v>
      </c>
      <c r="G75" s="102" t="s">
        <v>415</v>
      </c>
      <c r="H75" s="102"/>
      <c r="I75" s="102"/>
      <c r="J75" s="102"/>
      <c r="K75" s="103"/>
      <c r="L75" s="143">
        <v>1703009</v>
      </c>
      <c r="M75" s="101" t="s">
        <v>261</v>
      </c>
      <c r="N75" s="101">
        <v>1</v>
      </c>
      <c r="O75" s="101" t="s">
        <v>371</v>
      </c>
      <c r="P75" s="98">
        <v>703009</v>
      </c>
      <c r="Q75" s="98">
        <f>IF(C75=P75,1,2)</f>
        <v>2</v>
      </c>
    </row>
    <row r="76" spans="1:17" s="98" customFormat="1" ht="12">
      <c r="A76" s="102" t="s">
        <v>192</v>
      </c>
      <c r="B76" s="99" t="s">
        <v>1004</v>
      </c>
      <c r="C76" s="102">
        <v>306024</v>
      </c>
      <c r="D76" s="99"/>
      <c r="E76" s="102"/>
      <c r="F76" s="103"/>
      <c r="G76" s="102"/>
      <c r="H76" s="102"/>
      <c r="I76" s="99">
        <v>3306024</v>
      </c>
      <c r="J76" s="102" t="s">
        <v>547</v>
      </c>
      <c r="K76" s="103" t="s">
        <v>506</v>
      </c>
      <c r="L76" s="145">
        <v>3402002</v>
      </c>
      <c r="M76" s="101" t="s">
        <v>507</v>
      </c>
      <c r="N76" s="101">
        <v>1</v>
      </c>
      <c r="O76" s="101" t="s">
        <v>371</v>
      </c>
    </row>
    <row r="77" spans="1:17" s="98" customFormat="1" ht="12">
      <c r="A77" s="102" t="s">
        <v>192</v>
      </c>
      <c r="B77" s="99" t="s">
        <v>1004</v>
      </c>
      <c r="C77" s="102">
        <v>306025</v>
      </c>
      <c r="D77" s="99">
        <v>1306025</v>
      </c>
      <c r="E77" s="102" t="s">
        <v>196</v>
      </c>
      <c r="F77" s="103" t="s">
        <v>548</v>
      </c>
      <c r="G77" s="102" t="s">
        <v>406</v>
      </c>
      <c r="H77" s="102"/>
      <c r="I77" s="102"/>
      <c r="J77" s="102"/>
      <c r="K77" s="103"/>
      <c r="L77" s="143">
        <v>1306072</v>
      </c>
      <c r="M77" s="101" t="s">
        <v>176</v>
      </c>
      <c r="N77" s="101" t="s">
        <v>371</v>
      </c>
      <c r="O77" s="101">
        <v>1</v>
      </c>
      <c r="P77" s="98">
        <v>306072</v>
      </c>
      <c r="Q77" s="98">
        <f>IF(C77=P77,1,2)</f>
        <v>2</v>
      </c>
    </row>
    <row r="78" spans="1:17" s="98" customFormat="1" ht="12">
      <c r="A78" s="102" t="s">
        <v>192</v>
      </c>
      <c r="B78" s="99" t="s">
        <v>1004</v>
      </c>
      <c r="C78" s="102">
        <v>306077</v>
      </c>
      <c r="D78" s="99">
        <v>1306077</v>
      </c>
      <c r="E78" s="102" t="s">
        <v>204</v>
      </c>
      <c r="F78" s="103" t="s">
        <v>550</v>
      </c>
      <c r="G78" s="102" t="s">
        <v>406</v>
      </c>
      <c r="H78" s="102"/>
      <c r="I78" s="102"/>
      <c r="J78" s="102"/>
      <c r="K78" s="103"/>
      <c r="L78" s="143">
        <v>1306072</v>
      </c>
      <c r="M78" s="101" t="s">
        <v>176</v>
      </c>
      <c r="N78" s="101" t="s">
        <v>371</v>
      </c>
      <c r="O78" s="101">
        <v>1</v>
      </c>
      <c r="P78" s="98">
        <v>306072</v>
      </c>
      <c r="Q78" s="98">
        <f>IF(C78=P78,1,2)</f>
        <v>2</v>
      </c>
    </row>
    <row r="79" spans="1:17" s="98" customFormat="1" ht="12">
      <c r="A79" s="102" t="s">
        <v>192</v>
      </c>
      <c r="B79" s="99" t="s">
        <v>1004</v>
      </c>
      <c r="C79" s="102">
        <v>306080</v>
      </c>
      <c r="D79" s="99"/>
      <c r="E79" s="102"/>
      <c r="F79" s="103"/>
      <c r="G79" s="102"/>
      <c r="H79" s="102"/>
      <c r="I79" s="99">
        <v>3306080</v>
      </c>
      <c r="J79" s="102" t="s">
        <v>551</v>
      </c>
      <c r="K79" s="103" t="s">
        <v>552</v>
      </c>
      <c r="L79" s="145">
        <v>3306080</v>
      </c>
      <c r="M79" s="101" t="s">
        <v>551</v>
      </c>
      <c r="N79" s="101" t="s">
        <v>371</v>
      </c>
      <c r="O79" s="101">
        <v>1</v>
      </c>
    </row>
    <row r="80" spans="1:17" s="98" customFormat="1" ht="12">
      <c r="A80" s="102" t="s">
        <v>192</v>
      </c>
      <c r="B80" s="99" t="s">
        <v>1004</v>
      </c>
      <c r="C80" s="102">
        <v>306082</v>
      </c>
      <c r="D80" s="99">
        <v>1306082</v>
      </c>
      <c r="E80" s="102" t="s">
        <v>206</v>
      </c>
      <c r="F80" s="103" t="s">
        <v>553</v>
      </c>
      <c r="G80" s="102" t="s">
        <v>406</v>
      </c>
      <c r="H80" s="102"/>
      <c r="I80" s="102"/>
      <c r="J80" s="102"/>
      <c r="K80" s="103"/>
      <c r="L80" s="143">
        <v>9306082</v>
      </c>
      <c r="M80" s="101" t="s">
        <v>206</v>
      </c>
      <c r="N80" s="101" t="s">
        <v>371</v>
      </c>
      <c r="O80" s="101">
        <v>1</v>
      </c>
      <c r="P80" s="98">
        <v>306082</v>
      </c>
      <c r="Q80" s="98">
        <f>IF(C80=P80,1,2)</f>
        <v>1</v>
      </c>
    </row>
    <row r="81" spans="1:17" s="98" customFormat="1" ht="12">
      <c r="A81" s="102" t="s">
        <v>192</v>
      </c>
      <c r="B81" s="99" t="s">
        <v>1004</v>
      </c>
      <c r="C81" s="102">
        <v>306085</v>
      </c>
      <c r="D81" s="99">
        <v>1306085</v>
      </c>
      <c r="E81" s="102" t="s">
        <v>181</v>
      </c>
      <c r="F81" s="103" t="s">
        <v>554</v>
      </c>
      <c r="G81" s="102" t="s">
        <v>441</v>
      </c>
      <c r="H81" s="102"/>
      <c r="I81" s="99">
        <v>3306085</v>
      </c>
      <c r="J81" s="102" t="s">
        <v>555</v>
      </c>
      <c r="K81" s="103" t="s">
        <v>554</v>
      </c>
      <c r="L81" s="143">
        <v>1306085</v>
      </c>
      <c r="M81" s="101" t="s">
        <v>181</v>
      </c>
      <c r="N81" s="101" t="s">
        <v>371</v>
      </c>
      <c r="O81" s="101">
        <v>1</v>
      </c>
    </row>
    <row r="82" spans="1:17" s="98" customFormat="1" ht="12">
      <c r="A82" s="102" t="s">
        <v>192</v>
      </c>
      <c r="B82" s="99" t="s">
        <v>1004</v>
      </c>
      <c r="C82" s="107">
        <v>306990</v>
      </c>
      <c r="D82" s="99">
        <v>1306990</v>
      </c>
      <c r="E82" s="102" t="s">
        <v>1082</v>
      </c>
      <c r="F82" s="102" t="s">
        <v>556</v>
      </c>
      <c r="G82" s="102"/>
      <c r="H82" s="102"/>
      <c r="I82" s="99">
        <v>3306990</v>
      </c>
      <c r="J82" s="102" t="s">
        <v>557</v>
      </c>
      <c r="K82" s="102" t="s">
        <v>556</v>
      </c>
      <c r="L82" s="143">
        <v>1306990</v>
      </c>
      <c r="M82" s="101" t="s">
        <v>558</v>
      </c>
      <c r="N82" s="101" t="s">
        <v>371</v>
      </c>
      <c r="O82" s="101">
        <v>1</v>
      </c>
    </row>
    <row r="83" spans="1:17" s="98" customFormat="1" ht="12">
      <c r="A83" s="102" t="s">
        <v>192</v>
      </c>
      <c r="B83" s="99" t="s">
        <v>1004</v>
      </c>
      <c r="C83" s="107">
        <v>306991</v>
      </c>
      <c r="D83" s="99">
        <v>1306991</v>
      </c>
      <c r="E83" s="102" t="s">
        <v>1083</v>
      </c>
      <c r="F83" s="103" t="s">
        <v>559</v>
      </c>
      <c r="G83" s="102"/>
      <c r="H83" s="102"/>
      <c r="I83" s="99">
        <v>3306991</v>
      </c>
      <c r="J83" s="102" t="s">
        <v>560</v>
      </c>
      <c r="K83" s="103" t="s">
        <v>559</v>
      </c>
      <c r="L83" s="143">
        <v>1306991</v>
      </c>
      <c r="M83" s="101" t="s">
        <v>561</v>
      </c>
      <c r="N83" s="101" t="s">
        <v>371</v>
      </c>
      <c r="O83" s="101">
        <v>1</v>
      </c>
    </row>
    <row r="84" spans="1:17" s="98" customFormat="1" ht="12">
      <c r="A84" s="110" t="s">
        <v>192</v>
      </c>
      <c r="B84" s="99" t="s">
        <v>1004</v>
      </c>
      <c r="C84" s="111">
        <v>306993</v>
      </c>
      <c r="D84" s="99">
        <v>1306993</v>
      </c>
      <c r="E84" s="110" t="s">
        <v>1067</v>
      </c>
      <c r="F84" s="103" t="s">
        <v>562</v>
      </c>
      <c r="G84" s="102"/>
      <c r="H84" s="102"/>
      <c r="I84" s="99">
        <v>3306993</v>
      </c>
      <c r="J84" s="102" t="s">
        <v>563</v>
      </c>
      <c r="K84" s="103" t="s">
        <v>562</v>
      </c>
      <c r="L84" s="143">
        <v>1306993</v>
      </c>
      <c r="M84" s="101" t="s">
        <v>564</v>
      </c>
      <c r="N84" s="101" t="s">
        <v>371</v>
      </c>
      <c r="O84" s="101">
        <v>1</v>
      </c>
    </row>
    <row r="85" spans="1:17" s="98" customFormat="1" ht="12">
      <c r="A85" s="104" t="s">
        <v>207</v>
      </c>
      <c r="B85" s="99" t="s">
        <v>1045</v>
      </c>
      <c r="C85" s="104">
        <v>401010</v>
      </c>
      <c r="D85" s="99">
        <v>1401010</v>
      </c>
      <c r="E85" s="113" t="s">
        <v>183</v>
      </c>
      <c r="F85" s="112" t="s">
        <v>565</v>
      </c>
      <c r="G85" s="102" t="s">
        <v>566</v>
      </c>
      <c r="H85" s="102" t="s">
        <v>567</v>
      </c>
      <c r="I85" s="102"/>
      <c r="J85" s="102"/>
      <c r="K85" s="103"/>
      <c r="L85" s="143">
        <v>1401010</v>
      </c>
      <c r="M85" s="101" t="s">
        <v>183</v>
      </c>
      <c r="N85" s="101" t="s">
        <v>371</v>
      </c>
      <c r="O85" s="101">
        <v>1</v>
      </c>
    </row>
    <row r="86" spans="1:17" s="98" customFormat="1" ht="12">
      <c r="A86" s="104" t="s">
        <v>207</v>
      </c>
      <c r="B86" s="99" t="s">
        <v>1045</v>
      </c>
      <c r="C86" s="104">
        <v>401011</v>
      </c>
      <c r="D86" s="99">
        <v>7401011</v>
      </c>
      <c r="E86" s="113" t="s">
        <v>210</v>
      </c>
      <c r="F86" s="112" t="s">
        <v>546</v>
      </c>
      <c r="G86" s="102" t="s">
        <v>567</v>
      </c>
      <c r="H86" s="102"/>
      <c r="I86" s="102"/>
      <c r="J86" s="102"/>
      <c r="K86" s="103"/>
      <c r="L86" s="143">
        <v>7412010</v>
      </c>
      <c r="M86" s="101" t="s">
        <v>214</v>
      </c>
      <c r="N86" s="101">
        <v>1</v>
      </c>
      <c r="O86" s="101" t="s">
        <v>371</v>
      </c>
      <c r="Q86" s="98">
        <f>IF(C86=P86,1,2)</f>
        <v>2</v>
      </c>
    </row>
    <row r="87" spans="1:17" s="98" customFormat="1" ht="12.75" thickBot="1">
      <c r="A87" s="114" t="s">
        <v>207</v>
      </c>
      <c r="B87" s="99" t="s">
        <v>1045</v>
      </c>
      <c r="C87" s="114">
        <v>401022</v>
      </c>
      <c r="D87" s="99">
        <v>1401022</v>
      </c>
      <c r="E87" s="115" t="s">
        <v>568</v>
      </c>
      <c r="F87" s="116" t="s">
        <v>569</v>
      </c>
      <c r="G87" s="102" t="s">
        <v>406</v>
      </c>
      <c r="H87" s="102"/>
      <c r="I87" s="102"/>
      <c r="J87" s="102"/>
      <c r="K87" s="103"/>
      <c r="L87" s="143">
        <v>9401022</v>
      </c>
      <c r="M87" s="101" t="s">
        <v>570</v>
      </c>
      <c r="N87" s="101" t="s">
        <v>371</v>
      </c>
      <c r="O87" s="101">
        <v>1</v>
      </c>
      <c r="P87" s="98">
        <v>401022</v>
      </c>
      <c r="Q87" s="98">
        <f>IF(C87=P87,1,2)</f>
        <v>1</v>
      </c>
    </row>
    <row r="88" spans="1:17" s="98" customFormat="1" ht="12">
      <c r="A88" s="104" t="s">
        <v>207</v>
      </c>
      <c r="B88" s="99" t="s">
        <v>1045</v>
      </c>
      <c r="C88" s="104">
        <v>402002</v>
      </c>
      <c r="D88" s="99"/>
      <c r="E88" s="113"/>
      <c r="F88" s="112"/>
      <c r="G88" s="102"/>
      <c r="H88" s="102"/>
      <c r="I88" s="99">
        <v>3402002</v>
      </c>
      <c r="J88" s="102" t="s">
        <v>507</v>
      </c>
      <c r="K88" s="103" t="s">
        <v>506</v>
      </c>
      <c r="L88" s="145">
        <v>3402002</v>
      </c>
      <c r="M88" s="101" t="s">
        <v>507</v>
      </c>
      <c r="N88" s="101">
        <v>1</v>
      </c>
      <c r="O88" s="101" t="s">
        <v>371</v>
      </c>
    </row>
    <row r="89" spans="1:17" s="98" customFormat="1" ht="12">
      <c r="A89" s="104" t="s">
        <v>207</v>
      </c>
      <c r="B89" s="99" t="s">
        <v>1045</v>
      </c>
      <c r="C89" s="104">
        <v>403014</v>
      </c>
      <c r="D89" s="99">
        <v>1403014</v>
      </c>
      <c r="E89" s="113" t="s">
        <v>213</v>
      </c>
      <c r="F89" s="112" t="s">
        <v>571</v>
      </c>
      <c r="G89" s="102" t="s">
        <v>406</v>
      </c>
      <c r="H89" s="102"/>
      <c r="I89" s="102"/>
      <c r="J89" s="102"/>
      <c r="K89" s="103"/>
      <c r="L89" s="143">
        <v>1402013</v>
      </c>
      <c r="M89" s="101" t="s">
        <v>184</v>
      </c>
      <c r="N89" s="101">
        <v>1</v>
      </c>
      <c r="O89" s="101" t="s">
        <v>371</v>
      </c>
      <c r="P89" s="98">
        <v>402013</v>
      </c>
      <c r="Q89" s="98">
        <f>IF(C89=P89,1,2)</f>
        <v>2</v>
      </c>
    </row>
    <row r="90" spans="1:17" s="98" customFormat="1" ht="12">
      <c r="A90" s="118" t="s">
        <v>207</v>
      </c>
      <c r="B90" s="99" t="s">
        <v>1045</v>
      </c>
      <c r="C90" s="121">
        <v>404990</v>
      </c>
      <c r="D90" s="99">
        <v>1404990</v>
      </c>
      <c r="E90" s="119" t="s">
        <v>1068</v>
      </c>
      <c r="F90" s="112" t="s">
        <v>572</v>
      </c>
      <c r="G90" s="102"/>
      <c r="H90" s="102"/>
      <c r="I90" s="102"/>
      <c r="J90" s="102"/>
      <c r="K90" s="103"/>
      <c r="L90" s="143">
        <v>1404009</v>
      </c>
      <c r="M90" s="101" t="s">
        <v>482</v>
      </c>
      <c r="N90" s="101">
        <v>1</v>
      </c>
      <c r="O90" s="101" t="s">
        <v>371</v>
      </c>
    </row>
    <row r="91" spans="1:17" s="98" customFormat="1" ht="12">
      <c r="A91" s="104" t="s">
        <v>207</v>
      </c>
      <c r="B91" s="99" t="s">
        <v>1045</v>
      </c>
      <c r="C91" s="104">
        <v>405003</v>
      </c>
      <c r="D91" s="99">
        <v>1405003</v>
      </c>
      <c r="E91" s="113" t="s">
        <v>193</v>
      </c>
      <c r="F91" s="112" t="s">
        <v>573</v>
      </c>
      <c r="G91" s="102" t="s">
        <v>566</v>
      </c>
      <c r="H91" s="102" t="s">
        <v>567</v>
      </c>
      <c r="I91" s="102"/>
      <c r="J91" s="102"/>
      <c r="K91" s="103"/>
      <c r="L91" s="143">
        <v>1405003</v>
      </c>
      <c r="M91" s="101" t="s">
        <v>193</v>
      </c>
      <c r="N91" s="101" t="s">
        <v>371</v>
      </c>
      <c r="O91" s="101">
        <v>1</v>
      </c>
    </row>
    <row r="92" spans="1:17" s="98" customFormat="1" ht="12">
      <c r="A92" s="104" t="s">
        <v>207</v>
      </c>
      <c r="B92" s="99" t="s">
        <v>1045</v>
      </c>
      <c r="C92" s="104">
        <v>405007</v>
      </c>
      <c r="D92" s="99">
        <v>1405007</v>
      </c>
      <c r="E92" s="113" t="s">
        <v>67</v>
      </c>
      <c r="F92" s="112" t="s">
        <v>574</v>
      </c>
      <c r="G92" s="102" t="s">
        <v>566</v>
      </c>
      <c r="H92" s="102"/>
      <c r="I92" s="99">
        <v>3405007</v>
      </c>
      <c r="J92" s="102" t="s">
        <v>575</v>
      </c>
      <c r="K92" s="103" t="s">
        <v>574</v>
      </c>
      <c r="L92" s="143">
        <v>1405007</v>
      </c>
      <c r="M92" s="101" t="s">
        <v>67</v>
      </c>
      <c r="N92" s="101" t="s">
        <v>371</v>
      </c>
      <c r="O92" s="101">
        <v>1</v>
      </c>
    </row>
    <row r="93" spans="1:17" s="98" customFormat="1" ht="12">
      <c r="A93" s="104" t="s">
        <v>207</v>
      </c>
      <c r="B93" s="99" t="s">
        <v>1045</v>
      </c>
      <c r="C93" s="104">
        <v>405011</v>
      </c>
      <c r="D93" s="99">
        <v>1405011</v>
      </c>
      <c r="E93" s="113" t="s">
        <v>194</v>
      </c>
      <c r="F93" s="112" t="s">
        <v>576</v>
      </c>
      <c r="G93" s="102" t="s">
        <v>566</v>
      </c>
      <c r="H93" s="102" t="s">
        <v>567</v>
      </c>
      <c r="I93" s="99">
        <v>3405011</v>
      </c>
      <c r="J93" s="102" t="s">
        <v>577</v>
      </c>
      <c r="K93" s="103" t="s">
        <v>576</v>
      </c>
      <c r="L93" s="143">
        <v>1405011</v>
      </c>
      <c r="M93" s="101" t="s">
        <v>194</v>
      </c>
      <c r="N93" s="101" t="s">
        <v>371</v>
      </c>
      <c r="O93" s="101">
        <v>1</v>
      </c>
    </row>
    <row r="94" spans="1:17" s="98" customFormat="1" ht="12.75" thickBot="1">
      <c r="A94" s="114" t="s">
        <v>207</v>
      </c>
      <c r="B94" s="99" t="s">
        <v>1045</v>
      </c>
      <c r="C94" s="114">
        <v>405015</v>
      </c>
      <c r="D94" s="99">
        <v>1405015</v>
      </c>
      <c r="E94" s="120" t="s">
        <v>195</v>
      </c>
      <c r="F94" s="112" t="s">
        <v>578</v>
      </c>
      <c r="G94" s="102" t="s">
        <v>395</v>
      </c>
      <c r="H94" s="102"/>
      <c r="I94" s="99">
        <v>3405015</v>
      </c>
      <c r="J94" s="102" t="s">
        <v>579</v>
      </c>
      <c r="K94" s="103" t="s">
        <v>578</v>
      </c>
      <c r="L94" s="143">
        <v>1405015</v>
      </c>
      <c r="M94" s="101" t="s">
        <v>195</v>
      </c>
      <c r="N94" s="101" t="s">
        <v>371</v>
      </c>
      <c r="O94" s="101">
        <v>1</v>
      </c>
    </row>
    <row r="95" spans="1:17" s="98" customFormat="1" ht="12">
      <c r="A95" s="122" t="s">
        <v>207</v>
      </c>
      <c r="B95" s="99" t="s">
        <v>1045</v>
      </c>
      <c r="C95" s="104">
        <v>406012</v>
      </c>
      <c r="D95" s="99">
        <v>1406012</v>
      </c>
      <c r="E95" s="113" t="s">
        <v>226</v>
      </c>
      <c r="F95" s="112" t="s">
        <v>581</v>
      </c>
      <c r="G95" s="102" t="s">
        <v>406</v>
      </c>
      <c r="H95" s="102"/>
      <c r="I95" s="102"/>
      <c r="J95" s="102"/>
      <c r="K95" s="103"/>
      <c r="L95" s="143">
        <v>9406012</v>
      </c>
      <c r="M95" s="101" t="s">
        <v>226</v>
      </c>
      <c r="N95" s="101" t="s">
        <v>371</v>
      </c>
      <c r="O95" s="101">
        <v>1</v>
      </c>
      <c r="P95" s="98">
        <v>406012</v>
      </c>
      <c r="Q95" s="98">
        <f>IF(C95=P95,1,2)</f>
        <v>1</v>
      </c>
    </row>
    <row r="96" spans="1:17" s="98" customFormat="1" ht="12">
      <c r="A96" s="122" t="s">
        <v>207</v>
      </c>
      <c r="B96" s="99" t="s">
        <v>1045</v>
      </c>
      <c r="C96" s="104">
        <v>406014</v>
      </c>
      <c r="D96" s="99">
        <v>1406014</v>
      </c>
      <c r="E96" s="113" t="s">
        <v>197</v>
      </c>
      <c r="F96" s="112" t="s">
        <v>582</v>
      </c>
      <c r="G96" s="102" t="s">
        <v>566</v>
      </c>
      <c r="H96" s="102" t="s">
        <v>567</v>
      </c>
      <c r="I96" s="99">
        <v>3406014</v>
      </c>
      <c r="J96" s="102" t="s">
        <v>583</v>
      </c>
      <c r="K96" s="103" t="s">
        <v>582</v>
      </c>
      <c r="L96" s="143">
        <v>1406014</v>
      </c>
      <c r="M96" s="101" t="s">
        <v>197</v>
      </c>
      <c r="N96" s="101">
        <v>1</v>
      </c>
      <c r="O96" s="101" t="s">
        <v>371</v>
      </c>
    </row>
    <row r="97" spans="1:17" s="98" customFormat="1" ht="12">
      <c r="A97" s="122" t="s">
        <v>207</v>
      </c>
      <c r="B97" s="99" t="s">
        <v>1045</v>
      </c>
      <c r="C97" s="104">
        <v>406015</v>
      </c>
      <c r="D97" s="99"/>
      <c r="E97" s="113"/>
      <c r="F97" s="112"/>
      <c r="G97" s="102"/>
      <c r="H97" s="102"/>
      <c r="I97" s="99">
        <v>3406015</v>
      </c>
      <c r="J97" s="102" t="s">
        <v>584</v>
      </c>
      <c r="K97" s="103" t="s">
        <v>585</v>
      </c>
      <c r="L97" s="145">
        <v>3406015</v>
      </c>
      <c r="M97" s="101" t="s">
        <v>584</v>
      </c>
      <c r="N97" s="101" t="s">
        <v>371</v>
      </c>
      <c r="O97" s="101">
        <v>1</v>
      </c>
    </row>
    <row r="98" spans="1:17" s="98" customFormat="1" ht="12.75" thickBot="1">
      <c r="A98" s="123" t="s">
        <v>207</v>
      </c>
      <c r="B98" s="99" t="s">
        <v>1045</v>
      </c>
      <c r="C98" s="124">
        <v>406017</v>
      </c>
      <c r="D98" s="99"/>
      <c r="E98" s="125"/>
      <c r="F98" s="112"/>
      <c r="G98" s="102"/>
      <c r="H98" s="102"/>
      <c r="I98" s="99">
        <v>3406017</v>
      </c>
      <c r="J98" s="105" t="s">
        <v>586</v>
      </c>
      <c r="K98" s="106" t="s">
        <v>587</v>
      </c>
      <c r="L98" s="143">
        <v>1605990</v>
      </c>
      <c r="M98" s="101" t="s">
        <v>313</v>
      </c>
      <c r="N98" s="101">
        <v>1</v>
      </c>
      <c r="O98" s="101" t="s">
        <v>371</v>
      </c>
    </row>
    <row r="99" spans="1:17" s="98" customFormat="1" ht="12">
      <c r="A99" s="100" t="s">
        <v>207</v>
      </c>
      <c r="B99" s="99" t="s">
        <v>1045</v>
      </c>
      <c r="C99" s="100">
        <v>407001</v>
      </c>
      <c r="D99" s="99">
        <v>1407001</v>
      </c>
      <c r="E99" s="117" t="s">
        <v>588</v>
      </c>
      <c r="F99" s="112" t="s">
        <v>589</v>
      </c>
      <c r="G99" s="102" t="s">
        <v>566</v>
      </c>
      <c r="H99" s="102" t="s">
        <v>567</v>
      </c>
      <c r="I99" s="99">
        <v>3407001</v>
      </c>
      <c r="J99" s="102" t="s">
        <v>590</v>
      </c>
      <c r="K99" s="103" t="s">
        <v>589</v>
      </c>
      <c r="L99" s="143">
        <v>1407001</v>
      </c>
      <c r="M99" s="101" t="s">
        <v>591</v>
      </c>
      <c r="N99" s="101" t="s">
        <v>371</v>
      </c>
      <c r="O99" s="101">
        <v>1</v>
      </c>
    </row>
    <row r="100" spans="1:17" s="98" customFormat="1" ht="12">
      <c r="A100" s="104" t="s">
        <v>207</v>
      </c>
      <c r="B100" s="99" t="s">
        <v>1045</v>
      </c>
      <c r="C100" s="104">
        <v>407004</v>
      </c>
      <c r="D100" s="99">
        <v>1407004</v>
      </c>
      <c r="E100" s="113" t="s">
        <v>198</v>
      </c>
      <c r="F100" s="112" t="s">
        <v>592</v>
      </c>
      <c r="G100" s="102" t="s">
        <v>566</v>
      </c>
      <c r="H100" s="102" t="s">
        <v>567</v>
      </c>
      <c r="I100" s="99">
        <v>3407004</v>
      </c>
      <c r="J100" s="102" t="s">
        <v>593</v>
      </c>
      <c r="K100" s="103" t="s">
        <v>592</v>
      </c>
      <c r="L100" s="143">
        <v>1407004</v>
      </c>
      <c r="M100" s="101" t="s">
        <v>198</v>
      </c>
      <c r="N100" s="101" t="s">
        <v>371</v>
      </c>
      <c r="O100" s="101">
        <v>1</v>
      </c>
    </row>
    <row r="101" spans="1:17" s="98" customFormat="1" ht="12">
      <c r="A101" s="104" t="s">
        <v>207</v>
      </c>
      <c r="B101" s="99" t="s">
        <v>1045</v>
      </c>
      <c r="C101" s="104">
        <v>407005</v>
      </c>
      <c r="D101" s="99">
        <v>1407005</v>
      </c>
      <c r="E101" s="113" t="s">
        <v>199</v>
      </c>
      <c r="F101" s="112" t="s">
        <v>594</v>
      </c>
      <c r="G101" s="102" t="s">
        <v>566</v>
      </c>
      <c r="H101" s="102" t="s">
        <v>567</v>
      </c>
      <c r="I101" s="99">
        <v>3407005</v>
      </c>
      <c r="J101" s="102" t="s">
        <v>595</v>
      </c>
      <c r="K101" s="103" t="s">
        <v>594</v>
      </c>
      <c r="L101" s="143">
        <v>1407005</v>
      </c>
      <c r="M101" s="101" t="s">
        <v>199</v>
      </c>
      <c r="N101" s="101" t="s">
        <v>371</v>
      </c>
      <c r="O101" s="101">
        <v>1</v>
      </c>
    </row>
    <row r="102" spans="1:17" s="98" customFormat="1" ht="12">
      <c r="A102" s="104" t="s">
        <v>207</v>
      </c>
      <c r="B102" s="99" t="s">
        <v>1045</v>
      </c>
      <c r="C102" s="104">
        <v>407010</v>
      </c>
      <c r="D102" s="99">
        <v>1407010</v>
      </c>
      <c r="E102" s="113" t="s">
        <v>200</v>
      </c>
      <c r="F102" s="112" t="s">
        <v>596</v>
      </c>
      <c r="G102" s="102" t="s">
        <v>566</v>
      </c>
      <c r="H102" s="102" t="s">
        <v>567</v>
      </c>
      <c r="I102" s="99">
        <v>3407010</v>
      </c>
      <c r="J102" s="102" t="s">
        <v>597</v>
      </c>
      <c r="K102" s="103" t="s">
        <v>596</v>
      </c>
      <c r="L102" s="143">
        <v>1407010</v>
      </c>
      <c r="M102" s="101" t="s">
        <v>200</v>
      </c>
      <c r="N102" s="101">
        <v>1</v>
      </c>
      <c r="O102" s="101" t="s">
        <v>371</v>
      </c>
    </row>
    <row r="103" spans="1:17" s="98" customFormat="1" ht="12">
      <c r="A103" s="104" t="s">
        <v>207</v>
      </c>
      <c r="B103" s="99" t="s">
        <v>1045</v>
      </c>
      <c r="C103" s="104">
        <v>407015</v>
      </c>
      <c r="D103" s="99">
        <v>1407015</v>
      </c>
      <c r="E103" s="113" t="s">
        <v>598</v>
      </c>
      <c r="F103" s="112" t="s">
        <v>599</v>
      </c>
      <c r="G103" s="102" t="s">
        <v>395</v>
      </c>
      <c r="H103" s="102"/>
      <c r="I103" s="99">
        <v>3407015</v>
      </c>
      <c r="J103" s="102" t="s">
        <v>600</v>
      </c>
      <c r="K103" s="103" t="s">
        <v>599</v>
      </c>
      <c r="L103" s="143">
        <v>1407015</v>
      </c>
      <c r="M103" s="101" t="s">
        <v>601</v>
      </c>
      <c r="N103" s="101">
        <v>1</v>
      </c>
      <c r="O103" s="101" t="s">
        <v>371</v>
      </c>
    </row>
    <row r="104" spans="1:17" s="98" customFormat="1" ht="12">
      <c r="A104" s="104" t="s">
        <v>207</v>
      </c>
      <c r="B104" s="99" t="s">
        <v>1045</v>
      </c>
      <c r="C104" s="104">
        <v>407021</v>
      </c>
      <c r="D104" s="99"/>
      <c r="E104" s="113"/>
      <c r="F104" s="112"/>
      <c r="G104" s="102"/>
      <c r="H104" s="102"/>
      <c r="I104" s="99">
        <v>3407021</v>
      </c>
      <c r="J104" s="102" t="s">
        <v>602</v>
      </c>
      <c r="K104" s="103" t="s">
        <v>603</v>
      </c>
      <c r="L104" s="145">
        <v>3407021</v>
      </c>
      <c r="M104" s="101" t="s">
        <v>604</v>
      </c>
      <c r="N104" s="101" t="s">
        <v>371</v>
      </c>
      <c r="O104" s="101">
        <v>1</v>
      </c>
    </row>
    <row r="105" spans="1:17" s="98" customFormat="1" ht="12">
      <c r="A105" s="104" t="s">
        <v>207</v>
      </c>
      <c r="B105" s="99" t="s">
        <v>1045</v>
      </c>
      <c r="C105" s="104">
        <v>407022</v>
      </c>
      <c r="D105" s="99">
        <v>1407022</v>
      </c>
      <c r="E105" s="113" t="s">
        <v>229</v>
      </c>
      <c r="F105" s="112" t="s">
        <v>605</v>
      </c>
      <c r="G105" s="102" t="s">
        <v>566</v>
      </c>
      <c r="H105" s="102" t="s">
        <v>567</v>
      </c>
      <c r="I105" s="102"/>
      <c r="J105" s="102"/>
      <c r="K105" s="103"/>
      <c r="L105" s="143">
        <v>1407023</v>
      </c>
      <c r="M105" s="101" t="s">
        <v>201</v>
      </c>
      <c r="N105" s="101" t="s">
        <v>371</v>
      </c>
      <c r="O105" s="101">
        <v>1</v>
      </c>
    </row>
    <row r="106" spans="1:17" s="98" customFormat="1" ht="12">
      <c r="A106" s="104" t="s">
        <v>207</v>
      </c>
      <c r="B106" s="99" t="s">
        <v>1045</v>
      </c>
      <c r="C106" s="104">
        <v>407023</v>
      </c>
      <c r="D106" s="99">
        <v>1407023</v>
      </c>
      <c r="E106" s="113" t="s">
        <v>201</v>
      </c>
      <c r="F106" s="112" t="s">
        <v>606</v>
      </c>
      <c r="G106" s="102" t="s">
        <v>566</v>
      </c>
      <c r="H106" s="102" t="s">
        <v>567</v>
      </c>
      <c r="I106" s="102"/>
      <c r="J106" s="102"/>
      <c r="K106" s="103"/>
      <c r="L106" s="143">
        <v>1407023</v>
      </c>
      <c r="M106" s="101" t="s">
        <v>201</v>
      </c>
      <c r="N106" s="101" t="s">
        <v>371</v>
      </c>
      <c r="O106" s="101">
        <v>1</v>
      </c>
    </row>
    <row r="107" spans="1:17" s="98" customFormat="1" ht="12.75" thickBot="1">
      <c r="A107" s="114" t="s">
        <v>207</v>
      </c>
      <c r="B107" s="99" t="s">
        <v>1045</v>
      </c>
      <c r="C107" s="126">
        <v>407990</v>
      </c>
      <c r="D107" s="99"/>
      <c r="E107" s="120"/>
      <c r="F107" s="112"/>
      <c r="G107" s="102"/>
      <c r="H107" s="102"/>
      <c r="I107" s="99">
        <v>3407990</v>
      </c>
      <c r="J107" s="102" t="s">
        <v>607</v>
      </c>
      <c r="K107" s="103" t="s">
        <v>457</v>
      </c>
      <c r="L107" s="145">
        <v>3407990</v>
      </c>
      <c r="M107" s="101" t="s">
        <v>608</v>
      </c>
      <c r="N107" s="101" t="s">
        <v>371</v>
      </c>
      <c r="O107" s="101">
        <v>1</v>
      </c>
    </row>
    <row r="108" spans="1:17" s="98" customFormat="1" ht="12">
      <c r="A108" s="104" t="s">
        <v>207</v>
      </c>
      <c r="B108" s="99" t="s">
        <v>1045</v>
      </c>
      <c r="C108" s="104">
        <v>408002</v>
      </c>
      <c r="D108" s="99">
        <v>7408002</v>
      </c>
      <c r="E108" s="113" t="s">
        <v>202</v>
      </c>
      <c r="F108" s="112" t="s">
        <v>609</v>
      </c>
      <c r="G108" s="102" t="s">
        <v>610</v>
      </c>
      <c r="H108" s="102"/>
      <c r="I108" s="102"/>
      <c r="J108" s="102"/>
      <c r="K108" s="103"/>
      <c r="L108" s="143">
        <v>7408002</v>
      </c>
      <c r="M108" s="101" t="s">
        <v>202</v>
      </c>
      <c r="N108" s="101" t="s">
        <v>371</v>
      </c>
      <c r="O108" s="101">
        <v>1</v>
      </c>
      <c r="Q108" s="98">
        <f>IF(C108=P108,1,2)</f>
        <v>2</v>
      </c>
    </row>
    <row r="109" spans="1:17" s="98" customFormat="1" ht="12">
      <c r="A109" s="104" t="s">
        <v>207</v>
      </c>
      <c r="B109" s="99" t="s">
        <v>1045</v>
      </c>
      <c r="C109" s="104">
        <v>408006</v>
      </c>
      <c r="D109" s="99">
        <v>1408006</v>
      </c>
      <c r="E109" s="113" t="s">
        <v>66</v>
      </c>
      <c r="F109" s="112" t="s">
        <v>611</v>
      </c>
      <c r="G109" s="102" t="s">
        <v>612</v>
      </c>
      <c r="H109" s="102"/>
      <c r="I109" s="99">
        <v>3408006</v>
      </c>
      <c r="J109" s="102" t="s">
        <v>613</v>
      </c>
      <c r="K109" s="103" t="s">
        <v>611</v>
      </c>
      <c r="L109" s="143">
        <v>1408006</v>
      </c>
      <c r="M109" s="101" t="s">
        <v>66</v>
      </c>
      <c r="N109" s="101">
        <v>1</v>
      </c>
      <c r="O109" s="101" t="s">
        <v>371</v>
      </c>
    </row>
    <row r="110" spans="1:17" s="98" customFormat="1" ht="12">
      <c r="A110" s="104" t="s">
        <v>207</v>
      </c>
      <c r="B110" s="99" t="s">
        <v>1045</v>
      </c>
      <c r="C110" s="104">
        <v>408018</v>
      </c>
      <c r="D110" s="99">
        <v>1408018</v>
      </c>
      <c r="E110" s="113" t="s">
        <v>203</v>
      </c>
      <c r="F110" s="112" t="s">
        <v>614</v>
      </c>
      <c r="G110" s="102" t="s">
        <v>566</v>
      </c>
      <c r="H110" s="102" t="s">
        <v>567</v>
      </c>
      <c r="I110" s="99">
        <v>3408018</v>
      </c>
      <c r="J110" s="102" t="s">
        <v>615</v>
      </c>
      <c r="K110" s="103" t="s">
        <v>614</v>
      </c>
      <c r="L110" s="143">
        <v>1408018</v>
      </c>
      <c r="M110" s="101" t="s">
        <v>203</v>
      </c>
      <c r="N110" s="101" t="s">
        <v>371</v>
      </c>
      <c r="O110" s="101">
        <v>1</v>
      </c>
    </row>
    <row r="111" spans="1:17" s="98" customFormat="1" ht="12">
      <c r="A111" s="104" t="s">
        <v>207</v>
      </c>
      <c r="B111" s="99" t="s">
        <v>1045</v>
      </c>
      <c r="C111" s="104">
        <v>408026</v>
      </c>
      <c r="D111" s="99"/>
      <c r="E111" s="113"/>
      <c r="F111" s="112"/>
      <c r="G111" s="102"/>
      <c r="H111" s="102"/>
      <c r="I111" s="99">
        <v>3408026</v>
      </c>
      <c r="J111" s="113" t="s">
        <v>616</v>
      </c>
      <c r="K111" s="112" t="s">
        <v>617</v>
      </c>
      <c r="L111" s="145">
        <v>3408026</v>
      </c>
      <c r="M111" s="101" t="s">
        <v>618</v>
      </c>
      <c r="N111" s="101" t="s">
        <v>371</v>
      </c>
      <c r="O111" s="101">
        <v>1</v>
      </c>
    </row>
    <row r="112" spans="1:17" s="98" customFormat="1" ht="12">
      <c r="A112" s="104" t="s">
        <v>207</v>
      </c>
      <c r="B112" s="99" t="s">
        <v>1045</v>
      </c>
      <c r="C112" s="104">
        <v>409006</v>
      </c>
      <c r="D112" s="99">
        <v>1409006</v>
      </c>
      <c r="E112" s="113" t="s">
        <v>205</v>
      </c>
      <c r="F112" s="112" t="s">
        <v>619</v>
      </c>
      <c r="G112" s="102" t="s">
        <v>612</v>
      </c>
      <c r="H112" s="102" t="s">
        <v>567</v>
      </c>
      <c r="I112" s="102"/>
      <c r="J112" s="102"/>
      <c r="K112" s="103"/>
      <c r="L112" s="143">
        <v>1409006</v>
      </c>
      <c r="M112" s="101" t="s">
        <v>205</v>
      </c>
      <c r="N112" s="101" t="s">
        <v>371</v>
      </c>
      <c r="O112" s="101">
        <v>1</v>
      </c>
    </row>
    <row r="113" spans="1:17" s="98" customFormat="1" ht="12">
      <c r="A113" s="104" t="s">
        <v>207</v>
      </c>
      <c r="B113" s="99" t="s">
        <v>1045</v>
      </c>
      <c r="C113" s="104">
        <v>410005</v>
      </c>
      <c r="D113" s="99">
        <v>1410005</v>
      </c>
      <c r="E113" s="113" t="s">
        <v>232</v>
      </c>
      <c r="F113" s="112" t="s">
        <v>620</v>
      </c>
      <c r="G113" s="102" t="s">
        <v>566</v>
      </c>
      <c r="H113" s="102" t="s">
        <v>567</v>
      </c>
      <c r="I113" s="102"/>
      <c r="J113" s="102"/>
      <c r="K113" s="103"/>
      <c r="L113" s="143">
        <v>1410011</v>
      </c>
      <c r="M113" s="101" t="s">
        <v>209</v>
      </c>
      <c r="N113" s="101">
        <v>1</v>
      </c>
      <c r="O113" s="101" t="s">
        <v>371</v>
      </c>
    </row>
    <row r="114" spans="1:17" s="98" customFormat="1" ht="12">
      <c r="A114" s="104" t="s">
        <v>207</v>
      </c>
      <c r="B114" s="99" t="s">
        <v>1045</v>
      </c>
      <c r="C114" s="104">
        <v>410011</v>
      </c>
      <c r="D114" s="99">
        <v>1410011</v>
      </c>
      <c r="E114" s="113" t="s">
        <v>209</v>
      </c>
      <c r="F114" s="112" t="s">
        <v>621</v>
      </c>
      <c r="G114" s="102" t="s">
        <v>566</v>
      </c>
      <c r="H114" s="102" t="s">
        <v>567</v>
      </c>
      <c r="I114" s="102"/>
      <c r="J114" s="102"/>
      <c r="K114" s="103"/>
      <c r="L114" s="143">
        <v>1410011</v>
      </c>
      <c r="M114" s="101" t="s">
        <v>209</v>
      </c>
      <c r="N114" s="101">
        <v>1</v>
      </c>
      <c r="O114" s="101" t="s">
        <v>371</v>
      </c>
    </row>
    <row r="115" spans="1:17" s="98" customFormat="1" ht="12">
      <c r="A115" s="104" t="s">
        <v>207</v>
      </c>
      <c r="B115" s="99" t="s">
        <v>1045</v>
      </c>
      <c r="C115" s="104">
        <v>410021</v>
      </c>
      <c r="D115" s="99">
        <v>1410021</v>
      </c>
      <c r="E115" s="113" t="s">
        <v>1084</v>
      </c>
      <c r="F115" s="112" t="s">
        <v>623</v>
      </c>
      <c r="G115" s="102"/>
      <c r="H115" s="102"/>
      <c r="I115" s="99">
        <v>3410021</v>
      </c>
      <c r="J115" s="102" t="s">
        <v>624</v>
      </c>
      <c r="K115" s="103" t="s">
        <v>623</v>
      </c>
      <c r="L115" s="143">
        <v>1410021</v>
      </c>
      <c r="M115" s="101" t="s">
        <v>625</v>
      </c>
      <c r="N115" s="101" t="s">
        <v>371</v>
      </c>
      <c r="O115" s="101">
        <v>1</v>
      </c>
    </row>
    <row r="116" spans="1:17" s="98" customFormat="1" ht="12">
      <c r="A116" s="104" t="s">
        <v>207</v>
      </c>
      <c r="B116" s="99" t="s">
        <v>1045</v>
      </c>
      <c r="C116" s="104">
        <v>410022</v>
      </c>
      <c r="D116" s="99">
        <v>1410022</v>
      </c>
      <c r="E116" s="113" t="s">
        <v>211</v>
      </c>
      <c r="F116" s="112" t="s">
        <v>626</v>
      </c>
      <c r="G116" s="102" t="s">
        <v>566</v>
      </c>
      <c r="H116" s="102" t="s">
        <v>567</v>
      </c>
      <c r="I116" s="99">
        <v>3410022</v>
      </c>
      <c r="J116" s="102" t="s">
        <v>627</v>
      </c>
      <c r="K116" s="103" t="s">
        <v>626</v>
      </c>
      <c r="L116" s="143">
        <v>1410022</v>
      </c>
      <c r="M116" s="101" t="s">
        <v>211</v>
      </c>
      <c r="N116" s="101" t="s">
        <v>371</v>
      </c>
      <c r="O116" s="101">
        <v>1</v>
      </c>
    </row>
    <row r="117" spans="1:17" s="98" customFormat="1" ht="67.5">
      <c r="A117" s="127" t="s">
        <v>207</v>
      </c>
      <c r="B117" s="99" t="s">
        <v>1045</v>
      </c>
      <c r="C117" s="127">
        <v>410025</v>
      </c>
      <c r="D117" s="99"/>
      <c r="E117" s="129"/>
      <c r="F117" s="112"/>
      <c r="G117" s="102"/>
      <c r="H117" s="102"/>
      <c r="I117" s="99">
        <v>3410025</v>
      </c>
      <c r="J117" s="128" t="s">
        <v>629</v>
      </c>
      <c r="K117" s="103" t="s">
        <v>630</v>
      </c>
      <c r="L117" s="143">
        <v>1410025</v>
      </c>
      <c r="M117" s="101" t="s">
        <v>628</v>
      </c>
      <c r="N117" s="101" t="s">
        <v>371</v>
      </c>
      <c r="O117" s="101">
        <v>1</v>
      </c>
    </row>
    <row r="118" spans="1:17" s="98" customFormat="1" ht="12">
      <c r="A118" s="104" t="s">
        <v>207</v>
      </c>
      <c r="B118" s="99" t="s">
        <v>1045</v>
      </c>
      <c r="C118" s="130">
        <v>410990</v>
      </c>
      <c r="D118" s="99">
        <v>1410990</v>
      </c>
      <c r="E118" s="113" t="s">
        <v>234</v>
      </c>
      <c r="F118" s="112" t="s">
        <v>631</v>
      </c>
      <c r="G118" s="102"/>
      <c r="H118" s="102"/>
      <c r="I118" s="99">
        <v>3410990</v>
      </c>
      <c r="J118" s="102" t="s">
        <v>632</v>
      </c>
      <c r="K118" s="103" t="s">
        <v>631</v>
      </c>
      <c r="L118" s="143">
        <v>1410990</v>
      </c>
      <c r="M118" s="101" t="s">
        <v>633</v>
      </c>
      <c r="N118" s="101" t="s">
        <v>371</v>
      </c>
      <c r="O118" s="101">
        <v>1</v>
      </c>
    </row>
    <row r="119" spans="1:17" s="98" customFormat="1" ht="12.75" thickBot="1">
      <c r="A119" s="114" t="s">
        <v>207</v>
      </c>
      <c r="B119" s="99" t="s">
        <v>1045</v>
      </c>
      <c r="C119" s="126">
        <v>410991</v>
      </c>
      <c r="D119" s="99">
        <v>1410991</v>
      </c>
      <c r="E119" s="120" t="s">
        <v>233</v>
      </c>
      <c r="F119" s="112" t="s">
        <v>634</v>
      </c>
      <c r="G119" s="102"/>
      <c r="H119" s="102"/>
      <c r="I119" s="102"/>
      <c r="J119" s="102"/>
      <c r="K119" s="103"/>
      <c r="L119" s="143">
        <v>1410006</v>
      </c>
      <c r="M119" s="101" t="s">
        <v>208</v>
      </c>
      <c r="N119" s="101" t="s">
        <v>371</v>
      </c>
      <c r="O119" s="101">
        <v>1</v>
      </c>
    </row>
    <row r="120" spans="1:17" s="98" customFormat="1" ht="12">
      <c r="A120" s="104" t="s">
        <v>207</v>
      </c>
      <c r="B120" s="99" t="s">
        <v>1045</v>
      </c>
      <c r="C120" s="104">
        <v>411003</v>
      </c>
      <c r="D120" s="99">
        <v>1411003</v>
      </c>
      <c r="E120" s="113" t="s">
        <v>212</v>
      </c>
      <c r="F120" s="112" t="s">
        <v>635</v>
      </c>
      <c r="G120" s="102" t="s">
        <v>395</v>
      </c>
      <c r="H120" s="102"/>
      <c r="I120" s="102"/>
      <c r="J120" s="102"/>
      <c r="K120" s="103"/>
      <c r="L120" s="143">
        <v>1411003</v>
      </c>
      <c r="M120" s="101" t="s">
        <v>212</v>
      </c>
      <c r="N120" s="101" t="s">
        <v>371</v>
      </c>
      <c r="O120" s="101">
        <v>1</v>
      </c>
    </row>
    <row r="121" spans="1:17" s="98" customFormat="1" ht="12">
      <c r="A121" s="104" t="s">
        <v>207</v>
      </c>
      <c r="B121" s="99" t="s">
        <v>1045</v>
      </c>
      <c r="C121" s="104">
        <v>411013</v>
      </c>
      <c r="D121" s="99"/>
      <c r="E121" s="113"/>
      <c r="F121" s="112"/>
      <c r="G121" s="102"/>
      <c r="H121" s="102"/>
      <c r="I121" s="99">
        <v>3411013</v>
      </c>
      <c r="J121" s="102" t="s">
        <v>636</v>
      </c>
      <c r="K121" s="103" t="s">
        <v>637</v>
      </c>
      <c r="L121" s="145">
        <v>3411013</v>
      </c>
      <c r="M121" s="101" t="s">
        <v>636</v>
      </c>
      <c r="N121" s="101">
        <v>1</v>
      </c>
      <c r="O121" s="101" t="s">
        <v>371</v>
      </c>
    </row>
    <row r="122" spans="1:17" s="98" customFormat="1" ht="12">
      <c r="A122" s="104" t="s">
        <v>207</v>
      </c>
      <c r="B122" s="99" t="s">
        <v>1045</v>
      </c>
      <c r="C122" s="104">
        <v>411023</v>
      </c>
      <c r="D122" s="99">
        <v>1411023</v>
      </c>
      <c r="E122" s="113" t="s">
        <v>639</v>
      </c>
      <c r="F122" s="112" t="s">
        <v>640</v>
      </c>
      <c r="G122" s="102" t="s">
        <v>406</v>
      </c>
      <c r="H122" s="102"/>
      <c r="I122" s="102"/>
      <c r="J122" s="102"/>
      <c r="K122" s="103"/>
      <c r="L122" s="143">
        <v>9411023</v>
      </c>
      <c r="M122" s="101" t="s">
        <v>236</v>
      </c>
      <c r="N122" s="101" t="s">
        <v>371</v>
      </c>
      <c r="O122" s="101">
        <v>1</v>
      </c>
      <c r="P122" s="98">
        <v>411023</v>
      </c>
      <c r="Q122" s="98">
        <f>IF(C122=P122,1,2)</f>
        <v>1</v>
      </c>
    </row>
    <row r="123" spans="1:17" s="98" customFormat="1" ht="12">
      <c r="A123" s="104" t="s">
        <v>207</v>
      </c>
      <c r="B123" s="99" t="s">
        <v>1045</v>
      </c>
      <c r="C123" s="104">
        <v>412013</v>
      </c>
      <c r="D123" s="99"/>
      <c r="E123" s="113"/>
      <c r="F123" s="112"/>
      <c r="G123" s="102"/>
      <c r="H123" s="102"/>
      <c r="I123" s="99">
        <v>3412013</v>
      </c>
      <c r="J123" s="102" t="s">
        <v>642</v>
      </c>
      <c r="K123" s="103" t="s">
        <v>643</v>
      </c>
      <c r="L123" s="145">
        <v>3412013</v>
      </c>
      <c r="M123" s="101" t="s">
        <v>642</v>
      </c>
      <c r="N123" s="101" t="s">
        <v>371</v>
      </c>
      <c r="O123" s="101">
        <v>1</v>
      </c>
    </row>
    <row r="124" spans="1:17" s="98" customFormat="1" ht="12">
      <c r="A124" s="102" t="s">
        <v>242</v>
      </c>
      <c r="B124" s="99" t="s">
        <v>1005</v>
      </c>
      <c r="C124" s="107">
        <v>502990</v>
      </c>
      <c r="D124" s="99">
        <v>1502990</v>
      </c>
      <c r="E124" s="102" t="s">
        <v>243</v>
      </c>
      <c r="F124" s="103" t="s">
        <v>641</v>
      </c>
      <c r="G124" s="102"/>
      <c r="H124" s="102"/>
      <c r="I124" s="99">
        <v>3502990</v>
      </c>
      <c r="J124" s="102" t="s">
        <v>644</v>
      </c>
      <c r="K124" s="103" t="s">
        <v>641</v>
      </c>
      <c r="L124" s="143">
        <v>1502990</v>
      </c>
      <c r="M124" s="101" t="s">
        <v>645</v>
      </c>
      <c r="N124" s="101" t="s">
        <v>371</v>
      </c>
      <c r="O124" s="101">
        <v>1</v>
      </c>
    </row>
    <row r="125" spans="1:17" s="98" customFormat="1" ht="12">
      <c r="A125" s="102" t="s">
        <v>244</v>
      </c>
      <c r="B125" s="99" t="s">
        <v>1006</v>
      </c>
      <c r="C125" s="102">
        <v>503004</v>
      </c>
      <c r="D125" s="99">
        <v>1503004</v>
      </c>
      <c r="E125" s="102" t="s">
        <v>215</v>
      </c>
      <c r="F125" s="103" t="s">
        <v>647</v>
      </c>
      <c r="G125" s="102" t="s">
        <v>441</v>
      </c>
      <c r="H125" s="102"/>
      <c r="I125" s="102"/>
      <c r="J125" s="102"/>
      <c r="K125" s="103"/>
      <c r="L125" s="143">
        <v>1503004</v>
      </c>
      <c r="M125" s="101" t="s">
        <v>215</v>
      </c>
      <c r="N125" s="101" t="s">
        <v>371</v>
      </c>
      <c r="O125" s="101">
        <v>1</v>
      </c>
    </row>
    <row r="126" spans="1:17" s="98" customFormat="1" ht="12">
      <c r="A126" s="102" t="s">
        <v>244</v>
      </c>
      <c r="B126" s="99" t="s">
        <v>1006</v>
      </c>
      <c r="C126" s="102">
        <v>503006</v>
      </c>
      <c r="D126" s="99">
        <v>7503006</v>
      </c>
      <c r="E126" s="102" t="s">
        <v>216</v>
      </c>
      <c r="F126" s="103" t="s">
        <v>648</v>
      </c>
      <c r="G126" s="102" t="s">
        <v>567</v>
      </c>
      <c r="H126" s="102"/>
      <c r="I126" s="102"/>
      <c r="J126" s="102"/>
      <c r="K126" s="103"/>
      <c r="L126" s="143">
        <v>7503006</v>
      </c>
      <c r="M126" s="101" t="s">
        <v>216</v>
      </c>
      <c r="N126" s="101" t="s">
        <v>371</v>
      </c>
      <c r="O126" s="101">
        <v>1</v>
      </c>
      <c r="Q126" s="98">
        <f>IF(C126=P126,1,2)</f>
        <v>2</v>
      </c>
    </row>
    <row r="127" spans="1:17" s="98" customFormat="1" ht="12">
      <c r="A127" s="102" t="s">
        <v>244</v>
      </c>
      <c r="B127" s="99" t="s">
        <v>1006</v>
      </c>
      <c r="C127" s="107">
        <v>503991</v>
      </c>
      <c r="D127" s="99"/>
      <c r="E127" s="102"/>
      <c r="F127" s="103"/>
      <c r="G127" s="102"/>
      <c r="H127" s="102"/>
      <c r="I127" s="99">
        <v>3503991</v>
      </c>
      <c r="J127" s="102" t="s">
        <v>649</v>
      </c>
      <c r="K127" s="103" t="s">
        <v>650</v>
      </c>
      <c r="L127" s="145">
        <v>3606009</v>
      </c>
      <c r="M127" s="101" t="s">
        <v>651</v>
      </c>
      <c r="N127" s="101" t="s">
        <v>371</v>
      </c>
      <c r="O127" s="101">
        <v>1</v>
      </c>
    </row>
    <row r="128" spans="1:17" s="98" customFormat="1" ht="12">
      <c r="A128" s="102" t="s">
        <v>244</v>
      </c>
      <c r="B128" s="99" t="s">
        <v>1006</v>
      </c>
      <c r="C128" s="107">
        <v>503992</v>
      </c>
      <c r="D128" s="99">
        <v>1503992</v>
      </c>
      <c r="E128" s="102" t="s">
        <v>652</v>
      </c>
      <c r="F128" s="103" t="s">
        <v>653</v>
      </c>
      <c r="G128" s="102" t="s">
        <v>415</v>
      </c>
      <c r="H128" s="102"/>
      <c r="I128" s="102"/>
      <c r="J128" s="102"/>
      <c r="K128" s="103"/>
      <c r="L128" s="143">
        <v>9503992</v>
      </c>
      <c r="M128" s="101" t="s">
        <v>349</v>
      </c>
      <c r="N128" s="101" t="s">
        <v>371</v>
      </c>
      <c r="O128" s="101">
        <v>1</v>
      </c>
      <c r="P128" s="98">
        <v>503992</v>
      </c>
      <c r="Q128" s="98">
        <f>IF(C128=P128,1,2)</f>
        <v>1</v>
      </c>
    </row>
    <row r="129" spans="1:17" s="98" customFormat="1" ht="12">
      <c r="A129" s="102" t="s">
        <v>245</v>
      </c>
      <c r="B129" s="99" t="s">
        <v>1007</v>
      </c>
      <c r="C129" s="102">
        <v>504001</v>
      </c>
      <c r="D129" s="99">
        <v>1504001</v>
      </c>
      <c r="E129" s="102" t="s">
        <v>654</v>
      </c>
      <c r="F129" s="103" t="s">
        <v>655</v>
      </c>
      <c r="G129" s="102" t="s">
        <v>398</v>
      </c>
      <c r="H129" s="102"/>
      <c r="I129" s="99">
        <v>3504001</v>
      </c>
      <c r="J129" s="102" t="s">
        <v>656</v>
      </c>
      <c r="K129" s="103" t="s">
        <v>657</v>
      </c>
      <c r="L129" s="143">
        <v>1504001</v>
      </c>
      <c r="M129" s="101" t="s">
        <v>658</v>
      </c>
      <c r="N129" s="101" t="s">
        <v>371</v>
      </c>
      <c r="O129" s="101">
        <v>1</v>
      </c>
    </row>
    <row r="130" spans="1:17" s="98" customFormat="1" ht="12">
      <c r="A130" s="102" t="s">
        <v>245</v>
      </c>
      <c r="B130" s="99" t="s">
        <v>1007</v>
      </c>
      <c r="C130" s="102">
        <v>504002</v>
      </c>
      <c r="D130" s="99">
        <v>1504002</v>
      </c>
      <c r="E130" s="102" t="s">
        <v>217</v>
      </c>
      <c r="F130" s="103" t="s">
        <v>659</v>
      </c>
      <c r="G130" s="102" t="s">
        <v>395</v>
      </c>
      <c r="H130" s="102"/>
      <c r="I130" s="99">
        <v>3504002</v>
      </c>
      <c r="J130" s="102" t="s">
        <v>660</v>
      </c>
      <c r="K130" s="103" t="s">
        <v>659</v>
      </c>
      <c r="L130" s="143">
        <v>1504002</v>
      </c>
      <c r="M130" s="101" t="s">
        <v>217</v>
      </c>
      <c r="N130" s="101">
        <v>1</v>
      </c>
      <c r="O130" s="101" t="s">
        <v>371</v>
      </c>
    </row>
    <row r="131" spans="1:17" s="98" customFormat="1" ht="12">
      <c r="A131" s="102" t="s">
        <v>245</v>
      </c>
      <c r="B131" s="99" t="s">
        <v>1007</v>
      </c>
      <c r="C131" s="102">
        <v>504003</v>
      </c>
      <c r="D131" s="99">
        <v>1504003</v>
      </c>
      <c r="E131" s="102" t="s">
        <v>661</v>
      </c>
      <c r="F131" s="103" t="s">
        <v>662</v>
      </c>
      <c r="G131" s="102" t="s">
        <v>395</v>
      </c>
      <c r="H131" s="102"/>
      <c r="I131" s="99">
        <v>3504003</v>
      </c>
      <c r="J131" s="102" t="s">
        <v>663</v>
      </c>
      <c r="K131" s="103" t="s">
        <v>662</v>
      </c>
      <c r="L131" s="143">
        <v>1504003</v>
      </c>
      <c r="M131" s="101" t="s">
        <v>218</v>
      </c>
      <c r="N131" s="101">
        <v>1</v>
      </c>
      <c r="O131" s="101" t="s">
        <v>371</v>
      </c>
    </row>
    <row r="132" spans="1:17" s="98" customFormat="1" ht="12">
      <c r="A132" s="102" t="s">
        <v>245</v>
      </c>
      <c r="B132" s="99" t="s">
        <v>1007</v>
      </c>
      <c r="C132" s="102">
        <v>504004</v>
      </c>
      <c r="D132" s="99">
        <v>1504004</v>
      </c>
      <c r="E132" s="102" t="s">
        <v>219</v>
      </c>
      <c r="F132" s="103" t="s">
        <v>664</v>
      </c>
      <c r="G132" s="102" t="s">
        <v>398</v>
      </c>
      <c r="H132" s="102"/>
      <c r="I132" s="99">
        <v>3504004</v>
      </c>
      <c r="J132" s="102" t="s">
        <v>665</v>
      </c>
      <c r="K132" s="103" t="s">
        <v>664</v>
      </c>
      <c r="L132" s="143">
        <v>1504004</v>
      </c>
      <c r="M132" s="101" t="s">
        <v>219</v>
      </c>
      <c r="N132" s="101" t="s">
        <v>371</v>
      </c>
      <c r="O132" s="101">
        <v>1</v>
      </c>
    </row>
    <row r="133" spans="1:17" s="98" customFormat="1" ht="12">
      <c r="A133" s="102" t="s">
        <v>245</v>
      </c>
      <c r="B133" s="99" t="s">
        <v>1007</v>
      </c>
      <c r="C133" s="102">
        <v>504008</v>
      </c>
      <c r="D133" s="99">
        <v>1504008</v>
      </c>
      <c r="E133" s="102" t="s">
        <v>220</v>
      </c>
      <c r="F133" s="103" t="s">
        <v>666</v>
      </c>
      <c r="G133" s="102" t="s">
        <v>395</v>
      </c>
      <c r="H133" s="102"/>
      <c r="I133" s="99">
        <v>3504008</v>
      </c>
      <c r="J133" s="102" t="s">
        <v>667</v>
      </c>
      <c r="K133" s="103" t="s">
        <v>668</v>
      </c>
      <c r="L133" s="143">
        <v>1504008</v>
      </c>
      <c r="M133" s="101" t="s">
        <v>220</v>
      </c>
      <c r="N133" s="101" t="s">
        <v>371</v>
      </c>
      <c r="O133" s="101">
        <v>1</v>
      </c>
    </row>
    <row r="134" spans="1:17" s="98" customFormat="1" ht="12">
      <c r="A134" s="102" t="s">
        <v>245</v>
      </c>
      <c r="B134" s="99" t="s">
        <v>1007</v>
      </c>
      <c r="C134" s="102">
        <v>504011</v>
      </c>
      <c r="D134" s="99">
        <v>1504011</v>
      </c>
      <c r="E134" s="102" t="s">
        <v>221</v>
      </c>
      <c r="F134" s="103" t="s">
        <v>669</v>
      </c>
      <c r="G134" s="102" t="s">
        <v>395</v>
      </c>
      <c r="H134" s="102"/>
      <c r="I134" s="102"/>
      <c r="J134" s="102"/>
      <c r="K134" s="103"/>
      <c r="L134" s="143">
        <v>1504011</v>
      </c>
      <c r="M134" s="101" t="s">
        <v>221</v>
      </c>
      <c r="N134" s="101" t="s">
        <v>371</v>
      </c>
      <c r="O134" s="101">
        <v>1</v>
      </c>
    </row>
    <row r="135" spans="1:17" s="98" customFormat="1" ht="12">
      <c r="A135" s="102" t="s">
        <v>245</v>
      </c>
      <c r="B135" s="99" t="s">
        <v>1007</v>
      </c>
      <c r="C135" s="107">
        <v>504990</v>
      </c>
      <c r="D135" s="99"/>
      <c r="E135" s="102"/>
      <c r="F135" s="103"/>
      <c r="G135" s="102"/>
      <c r="H135" s="102"/>
      <c r="I135" s="99">
        <v>3504990</v>
      </c>
      <c r="J135" s="102" t="s">
        <v>670</v>
      </c>
      <c r="K135" s="103" t="s">
        <v>671</v>
      </c>
      <c r="L135" s="145">
        <v>3606009</v>
      </c>
      <c r="M135" s="101" t="s">
        <v>651</v>
      </c>
      <c r="N135" s="101" t="s">
        <v>371</v>
      </c>
      <c r="O135" s="101">
        <v>1</v>
      </c>
    </row>
    <row r="136" spans="1:17" s="98" customFormat="1" ht="12">
      <c r="A136" s="102" t="s">
        <v>1054</v>
      </c>
      <c r="B136" s="99" t="s">
        <v>1007</v>
      </c>
      <c r="C136" s="107">
        <v>504991</v>
      </c>
      <c r="D136" s="99"/>
      <c r="E136" s="102"/>
      <c r="F136" s="103"/>
      <c r="G136" s="102"/>
      <c r="H136" s="102"/>
      <c r="I136" s="99">
        <v>3504991</v>
      </c>
      <c r="J136" s="102" t="s">
        <v>672</v>
      </c>
      <c r="K136" s="103" t="s">
        <v>673</v>
      </c>
      <c r="L136" s="145">
        <v>3504991</v>
      </c>
      <c r="M136" s="101" t="s">
        <v>674</v>
      </c>
      <c r="N136" s="101" t="s">
        <v>371</v>
      </c>
      <c r="O136" s="101">
        <v>1</v>
      </c>
    </row>
    <row r="137" spans="1:17" s="98" customFormat="1" ht="12">
      <c r="A137" s="102" t="s">
        <v>246</v>
      </c>
      <c r="B137" s="99" t="s">
        <v>1008</v>
      </c>
      <c r="C137" s="102">
        <v>505003</v>
      </c>
      <c r="D137" s="99">
        <v>1505003</v>
      </c>
      <c r="E137" s="102" t="s">
        <v>675</v>
      </c>
      <c r="F137" s="103" t="s">
        <v>676</v>
      </c>
      <c r="G137" s="102" t="s">
        <v>395</v>
      </c>
      <c r="H137" s="102"/>
      <c r="I137" s="99">
        <v>3505003</v>
      </c>
      <c r="J137" s="102" t="s">
        <v>677</v>
      </c>
      <c r="K137" s="103" t="s">
        <v>676</v>
      </c>
      <c r="L137" s="143">
        <v>1505003</v>
      </c>
      <c r="M137" s="101" t="s">
        <v>222</v>
      </c>
      <c r="N137" s="101">
        <v>1</v>
      </c>
      <c r="O137" s="101" t="s">
        <v>371</v>
      </c>
    </row>
    <row r="138" spans="1:17" s="98" customFormat="1" ht="12">
      <c r="A138" s="102" t="s">
        <v>246</v>
      </c>
      <c r="B138" s="99" t="s">
        <v>1008</v>
      </c>
      <c r="C138" s="102">
        <v>505005</v>
      </c>
      <c r="D138" s="99">
        <v>1505005</v>
      </c>
      <c r="E138" s="102" t="s">
        <v>678</v>
      </c>
      <c r="F138" s="103" t="s">
        <v>679</v>
      </c>
      <c r="G138" s="102" t="s">
        <v>398</v>
      </c>
      <c r="H138" s="102"/>
      <c r="I138" s="99">
        <v>3505005</v>
      </c>
      <c r="J138" s="102" t="s">
        <v>680</v>
      </c>
      <c r="K138" s="103" t="s">
        <v>679</v>
      </c>
      <c r="L138" s="143">
        <v>1505005</v>
      </c>
      <c r="M138" s="101" t="s">
        <v>681</v>
      </c>
      <c r="N138" s="101" t="s">
        <v>371</v>
      </c>
      <c r="O138" s="101">
        <v>1</v>
      </c>
    </row>
    <row r="139" spans="1:17" s="98" customFormat="1" ht="12">
      <c r="A139" s="102" t="s">
        <v>246</v>
      </c>
      <c r="B139" s="99" t="s">
        <v>1008</v>
      </c>
      <c r="C139" s="102">
        <v>505010</v>
      </c>
      <c r="D139" s="99">
        <v>1505010</v>
      </c>
      <c r="E139" s="102" t="s">
        <v>682</v>
      </c>
      <c r="F139" s="103" t="s">
        <v>683</v>
      </c>
      <c r="G139" s="102" t="s">
        <v>395</v>
      </c>
      <c r="H139" s="102"/>
      <c r="I139" s="102"/>
      <c r="J139" s="102"/>
      <c r="K139" s="103"/>
      <c r="L139" s="143">
        <v>1505010</v>
      </c>
      <c r="M139" s="101" t="s">
        <v>223</v>
      </c>
      <c r="N139" s="101" t="s">
        <v>371</v>
      </c>
      <c r="O139" s="101">
        <v>1</v>
      </c>
    </row>
    <row r="140" spans="1:17" s="98" customFormat="1" ht="12">
      <c r="A140" s="102" t="s">
        <v>246</v>
      </c>
      <c r="B140" s="99" t="s">
        <v>1008</v>
      </c>
      <c r="C140" s="102">
        <v>505011</v>
      </c>
      <c r="D140" s="99">
        <v>1505011</v>
      </c>
      <c r="E140" s="102" t="s">
        <v>224</v>
      </c>
      <c r="F140" s="103" t="s">
        <v>684</v>
      </c>
      <c r="G140" s="102" t="s">
        <v>398</v>
      </c>
      <c r="H140" s="102"/>
      <c r="I140" s="102"/>
      <c r="J140" s="102"/>
      <c r="K140" s="103"/>
      <c r="L140" s="143">
        <v>1505011</v>
      </c>
      <c r="M140" s="101" t="s">
        <v>224</v>
      </c>
      <c r="N140" s="101">
        <v>1</v>
      </c>
      <c r="O140" s="101" t="s">
        <v>371</v>
      </c>
    </row>
    <row r="141" spans="1:17" s="98" customFormat="1" ht="12">
      <c r="A141" s="102" t="s">
        <v>246</v>
      </c>
      <c r="B141" s="99" t="s">
        <v>1008</v>
      </c>
      <c r="C141" s="102">
        <v>505019</v>
      </c>
      <c r="D141" s="99">
        <v>1505019</v>
      </c>
      <c r="E141" s="102" t="s">
        <v>249</v>
      </c>
      <c r="F141" s="103" t="s">
        <v>685</v>
      </c>
      <c r="G141" s="102" t="s">
        <v>406</v>
      </c>
      <c r="H141" s="102"/>
      <c r="I141" s="102"/>
      <c r="J141" s="102"/>
      <c r="K141" s="103"/>
      <c r="L141" s="143">
        <v>9505019</v>
      </c>
      <c r="M141" s="101" t="s">
        <v>249</v>
      </c>
      <c r="N141" s="101" t="s">
        <v>371</v>
      </c>
      <c r="O141" s="101">
        <v>1</v>
      </c>
      <c r="P141" s="98">
        <v>505019</v>
      </c>
      <c r="Q141" s="98">
        <f>IF(C141=P141,1,2)</f>
        <v>1</v>
      </c>
    </row>
    <row r="142" spans="1:17" s="98" customFormat="1" ht="12">
      <c r="A142" s="102" t="s">
        <v>246</v>
      </c>
      <c r="B142" s="99" t="s">
        <v>1008</v>
      </c>
      <c r="C142" s="102">
        <v>505020</v>
      </c>
      <c r="D142" s="99">
        <v>1505020</v>
      </c>
      <c r="E142" s="102" t="s">
        <v>250</v>
      </c>
      <c r="F142" s="103" t="s">
        <v>686</v>
      </c>
      <c r="G142" s="102" t="s">
        <v>406</v>
      </c>
      <c r="H142" s="102"/>
      <c r="I142" s="102"/>
      <c r="J142" s="102"/>
      <c r="K142" s="103"/>
      <c r="L142" s="143">
        <v>1505013</v>
      </c>
      <c r="M142" s="101" t="s">
        <v>225</v>
      </c>
      <c r="N142" s="101">
        <v>1</v>
      </c>
      <c r="O142" s="101" t="s">
        <v>371</v>
      </c>
      <c r="P142" s="98">
        <v>505013</v>
      </c>
      <c r="Q142" s="98">
        <f>IF(C142=P142,1,2)</f>
        <v>2</v>
      </c>
    </row>
    <row r="143" spans="1:17" s="98" customFormat="1" ht="12">
      <c r="A143" s="102" t="s">
        <v>246</v>
      </c>
      <c r="B143" s="99" t="s">
        <v>1008</v>
      </c>
      <c r="C143" s="102">
        <v>505022</v>
      </c>
      <c r="D143" s="99"/>
      <c r="E143" s="102"/>
      <c r="F143" s="103"/>
      <c r="G143" s="102"/>
      <c r="H143" s="102"/>
      <c r="I143" s="99">
        <v>3505022</v>
      </c>
      <c r="J143" s="102" t="s">
        <v>687</v>
      </c>
      <c r="K143" s="103" t="s">
        <v>688</v>
      </c>
      <c r="L143" s="145">
        <v>3505022</v>
      </c>
      <c r="M143" s="101" t="s">
        <v>687</v>
      </c>
      <c r="N143" s="101" t="s">
        <v>371</v>
      </c>
      <c r="O143" s="101">
        <v>1</v>
      </c>
    </row>
    <row r="144" spans="1:17" s="98" customFormat="1" ht="12">
      <c r="A144" s="102" t="s">
        <v>246</v>
      </c>
      <c r="B144" s="99" t="s">
        <v>1008</v>
      </c>
      <c r="C144" s="102">
        <v>505024</v>
      </c>
      <c r="D144" s="99">
        <v>1505024</v>
      </c>
      <c r="E144" s="102" t="s">
        <v>689</v>
      </c>
      <c r="F144" s="103" t="s">
        <v>690</v>
      </c>
      <c r="G144" s="102" t="s">
        <v>415</v>
      </c>
      <c r="H144" s="102"/>
      <c r="I144" s="102"/>
      <c r="J144" s="102"/>
      <c r="K144" s="103"/>
      <c r="L144" s="143">
        <v>9505024</v>
      </c>
      <c r="M144" s="101" t="s">
        <v>350</v>
      </c>
      <c r="N144" s="101" t="s">
        <v>371</v>
      </c>
      <c r="O144" s="101">
        <v>1</v>
      </c>
      <c r="P144" s="98">
        <v>505024</v>
      </c>
      <c r="Q144" s="98">
        <f>IF(C144=P144,1,2)</f>
        <v>1</v>
      </c>
    </row>
    <row r="145" spans="1:17" s="98" customFormat="1" ht="12">
      <c r="A145" s="102" t="s">
        <v>1055</v>
      </c>
      <c r="B145" s="99" t="s">
        <v>1008</v>
      </c>
      <c r="C145" s="102">
        <v>505026</v>
      </c>
      <c r="D145" s="99">
        <v>1505026</v>
      </c>
      <c r="E145" s="102" t="s">
        <v>691</v>
      </c>
      <c r="F145" s="103" t="s">
        <v>692</v>
      </c>
      <c r="G145" s="102" t="s">
        <v>415</v>
      </c>
      <c r="H145" s="102"/>
      <c r="I145" s="102"/>
      <c r="J145" s="102"/>
      <c r="K145" s="103"/>
      <c r="L145" s="143">
        <v>9505026</v>
      </c>
      <c r="M145" s="101" t="s">
        <v>351</v>
      </c>
      <c r="N145" s="101" t="s">
        <v>371</v>
      </c>
      <c r="O145" s="101">
        <v>1</v>
      </c>
      <c r="P145" s="98">
        <v>505026</v>
      </c>
      <c r="Q145" s="98">
        <f>IF(C145=P145,1,2)</f>
        <v>1</v>
      </c>
    </row>
    <row r="146" spans="1:17" s="98" customFormat="1" ht="12">
      <c r="A146" s="102" t="s">
        <v>1055</v>
      </c>
      <c r="B146" s="99" t="s">
        <v>1008</v>
      </c>
      <c r="C146" s="102">
        <v>505027</v>
      </c>
      <c r="D146" s="99">
        <v>1505027</v>
      </c>
      <c r="E146" s="102" t="s">
        <v>693</v>
      </c>
      <c r="F146" s="103" t="s">
        <v>694</v>
      </c>
      <c r="G146" s="102" t="s">
        <v>453</v>
      </c>
      <c r="H146" s="102"/>
      <c r="I146" s="102"/>
      <c r="J146" s="102"/>
      <c r="K146" s="103"/>
      <c r="L146" s="143">
        <v>1301026</v>
      </c>
      <c r="M146" s="101" t="s">
        <v>160</v>
      </c>
      <c r="N146" s="101" t="s">
        <v>371</v>
      </c>
      <c r="O146" s="101">
        <v>1</v>
      </c>
      <c r="P146" s="98">
        <v>301026</v>
      </c>
      <c r="Q146" s="98">
        <f>IF(C146=P146,1,2)</f>
        <v>2</v>
      </c>
    </row>
    <row r="147" spans="1:17" s="98" customFormat="1" ht="12">
      <c r="A147" s="102" t="s">
        <v>1055</v>
      </c>
      <c r="B147" s="99" t="s">
        <v>1008</v>
      </c>
      <c r="C147" s="102">
        <v>505029</v>
      </c>
      <c r="D147" s="99">
        <v>1505029</v>
      </c>
      <c r="E147" s="102" t="s">
        <v>695</v>
      </c>
      <c r="F147" s="103" t="s">
        <v>696</v>
      </c>
      <c r="G147" s="102" t="s">
        <v>415</v>
      </c>
      <c r="H147" s="102"/>
      <c r="I147" s="102"/>
      <c r="J147" s="102"/>
      <c r="K147" s="103"/>
      <c r="L147" s="143">
        <v>1404002</v>
      </c>
      <c r="M147" s="101" t="s">
        <v>186</v>
      </c>
      <c r="N147" s="101" t="s">
        <v>371</v>
      </c>
      <c r="O147" s="101">
        <v>1</v>
      </c>
      <c r="P147" s="98">
        <v>404002</v>
      </c>
      <c r="Q147" s="98">
        <f>IF(C147=P147,1,2)</f>
        <v>2</v>
      </c>
    </row>
    <row r="148" spans="1:17" s="98" customFormat="1" ht="12">
      <c r="A148" s="102" t="s">
        <v>1055</v>
      </c>
      <c r="B148" s="99" t="s">
        <v>1008</v>
      </c>
      <c r="C148" s="102">
        <v>505030</v>
      </c>
      <c r="D148" s="99">
        <v>1505030</v>
      </c>
      <c r="E148" s="102" t="s">
        <v>697</v>
      </c>
      <c r="F148" s="103" t="s">
        <v>698</v>
      </c>
      <c r="G148" s="102" t="s">
        <v>415</v>
      </c>
      <c r="H148" s="102"/>
      <c r="I148" s="102"/>
      <c r="J148" s="102"/>
      <c r="K148" s="103"/>
      <c r="L148" s="143">
        <v>9505030</v>
      </c>
      <c r="M148" s="101" t="s">
        <v>352</v>
      </c>
      <c r="N148" s="101" t="s">
        <v>371</v>
      </c>
      <c r="O148" s="101">
        <v>1</v>
      </c>
      <c r="P148" s="98">
        <v>505030</v>
      </c>
      <c r="Q148" s="98">
        <f>IF(C148=P148,1,2)</f>
        <v>1</v>
      </c>
    </row>
    <row r="149" spans="1:17" s="98" customFormat="1" ht="12">
      <c r="A149" s="102" t="s">
        <v>246</v>
      </c>
      <c r="B149" s="99" t="s">
        <v>1008</v>
      </c>
      <c r="C149" s="102">
        <v>505031</v>
      </c>
      <c r="D149" s="99"/>
      <c r="E149" s="102"/>
      <c r="F149" s="103"/>
      <c r="G149" s="102"/>
      <c r="H149" s="102"/>
      <c r="I149" s="99">
        <v>3505031</v>
      </c>
      <c r="J149" s="102" t="s">
        <v>699</v>
      </c>
      <c r="K149" s="103" t="s">
        <v>700</v>
      </c>
      <c r="L149" s="145">
        <v>3505031</v>
      </c>
      <c r="M149" s="101" t="s">
        <v>701</v>
      </c>
      <c r="N149" s="101" t="s">
        <v>371</v>
      </c>
      <c r="O149" s="101">
        <v>1</v>
      </c>
    </row>
    <row r="150" spans="1:17" s="98" customFormat="1" ht="12">
      <c r="A150" s="102" t="s">
        <v>246</v>
      </c>
      <c r="B150" s="99" t="s">
        <v>1008</v>
      </c>
      <c r="C150" s="107">
        <v>505990</v>
      </c>
      <c r="D150" s="99"/>
      <c r="E150" s="102"/>
      <c r="F150" s="103"/>
      <c r="G150" s="102"/>
      <c r="H150" s="102"/>
      <c r="I150" s="99">
        <v>3505990</v>
      </c>
      <c r="J150" s="102" t="s">
        <v>702</v>
      </c>
      <c r="K150" s="103" t="s">
        <v>703</v>
      </c>
      <c r="L150" s="145">
        <v>3505990</v>
      </c>
      <c r="M150" s="101" t="s">
        <v>702</v>
      </c>
      <c r="N150" s="101" t="s">
        <v>371</v>
      </c>
      <c r="O150" s="101">
        <v>1</v>
      </c>
    </row>
    <row r="151" spans="1:17" s="98" customFormat="1" ht="12">
      <c r="A151" s="102" t="s">
        <v>246</v>
      </c>
      <c r="B151" s="99" t="s">
        <v>1008</v>
      </c>
      <c r="C151" s="107">
        <v>505991</v>
      </c>
      <c r="D151" s="99">
        <v>1505991</v>
      </c>
      <c r="E151" s="102" t="s">
        <v>704</v>
      </c>
      <c r="F151" s="103" t="s">
        <v>705</v>
      </c>
      <c r="G151" s="102" t="s">
        <v>406</v>
      </c>
      <c r="H151" s="102"/>
      <c r="I151" s="99">
        <v>3505991</v>
      </c>
      <c r="J151" s="102" t="s">
        <v>706</v>
      </c>
      <c r="K151" s="103" t="s">
        <v>707</v>
      </c>
      <c r="L151" s="145">
        <v>3505991</v>
      </c>
      <c r="M151" s="101" t="s">
        <v>706</v>
      </c>
      <c r="N151" s="101" t="s">
        <v>371</v>
      </c>
      <c r="O151" s="101">
        <v>1</v>
      </c>
      <c r="P151" s="98">
        <v>505991</v>
      </c>
      <c r="Q151" s="98">
        <f>IF(C151=P151,1,2)</f>
        <v>1</v>
      </c>
    </row>
    <row r="152" spans="1:17" s="98" customFormat="1" ht="12">
      <c r="A152" s="102" t="s">
        <v>246</v>
      </c>
      <c r="B152" s="99" t="s">
        <v>1008</v>
      </c>
      <c r="C152" s="131">
        <v>505992</v>
      </c>
      <c r="D152" s="99"/>
      <c r="E152" s="131"/>
      <c r="F152" s="132"/>
      <c r="G152" s="131"/>
      <c r="H152" s="131"/>
      <c r="I152" s="99">
        <v>3505992</v>
      </c>
      <c r="J152" s="131" t="s">
        <v>708</v>
      </c>
      <c r="K152" s="132"/>
      <c r="L152" s="145">
        <v>3505992</v>
      </c>
      <c r="M152" s="101" t="s">
        <v>709</v>
      </c>
      <c r="N152" s="101" t="s">
        <v>371</v>
      </c>
      <c r="O152" s="101">
        <v>1</v>
      </c>
    </row>
    <row r="153" spans="1:17" s="98" customFormat="1" ht="12">
      <c r="A153" s="102" t="s">
        <v>246</v>
      </c>
      <c r="B153" s="99" t="s">
        <v>1008</v>
      </c>
      <c r="C153" s="107">
        <v>505994</v>
      </c>
      <c r="D153" s="99">
        <v>1505994</v>
      </c>
      <c r="E153" s="102" t="s">
        <v>710</v>
      </c>
      <c r="F153" s="103" t="s">
        <v>711</v>
      </c>
      <c r="G153" s="102" t="s">
        <v>415</v>
      </c>
      <c r="H153" s="102"/>
      <c r="I153" s="102"/>
      <c r="J153" s="102"/>
      <c r="K153" s="103"/>
      <c r="L153" s="143">
        <v>9505994</v>
      </c>
      <c r="M153" s="101" t="s">
        <v>712</v>
      </c>
      <c r="N153" s="101" t="s">
        <v>371</v>
      </c>
      <c r="O153" s="101">
        <v>1</v>
      </c>
      <c r="P153" s="98">
        <v>505994</v>
      </c>
      <c r="Q153" s="98">
        <f>IF(C153=P153,1,2)</f>
        <v>1</v>
      </c>
    </row>
    <row r="154" spans="1:17" s="98" customFormat="1" ht="12">
      <c r="A154" s="102" t="s">
        <v>251</v>
      </c>
      <c r="B154" s="99" t="s">
        <v>1009</v>
      </c>
      <c r="C154" s="102">
        <v>506012</v>
      </c>
      <c r="D154" s="99">
        <v>1506012</v>
      </c>
      <c r="E154" s="102" t="s">
        <v>713</v>
      </c>
      <c r="F154" s="103" t="s">
        <v>714</v>
      </c>
      <c r="G154" s="102" t="s">
        <v>398</v>
      </c>
      <c r="H154" s="102"/>
      <c r="I154" s="102"/>
      <c r="J154" s="102"/>
      <c r="K154" s="103"/>
      <c r="L154" s="143">
        <v>1506012</v>
      </c>
      <c r="M154" s="101" t="s">
        <v>715</v>
      </c>
      <c r="N154" s="101" t="s">
        <v>371</v>
      </c>
      <c r="O154" s="101">
        <v>1</v>
      </c>
    </row>
    <row r="155" spans="1:17" s="98" customFormat="1" ht="12">
      <c r="A155" s="102" t="s">
        <v>251</v>
      </c>
      <c r="B155" s="99" t="s">
        <v>1009</v>
      </c>
      <c r="C155" s="102">
        <v>506017</v>
      </c>
      <c r="D155" s="99">
        <v>1506017</v>
      </c>
      <c r="E155" s="102" t="s">
        <v>252</v>
      </c>
      <c r="F155" s="103" t="s">
        <v>716</v>
      </c>
      <c r="G155" s="102" t="s">
        <v>406</v>
      </c>
      <c r="H155" s="102"/>
      <c r="I155" s="102"/>
      <c r="J155" s="102"/>
      <c r="K155" s="103"/>
      <c r="L155" s="143">
        <v>9506017</v>
      </c>
      <c r="M155" s="101" t="s">
        <v>252</v>
      </c>
      <c r="N155" s="101" t="s">
        <v>371</v>
      </c>
      <c r="O155" s="101">
        <v>1</v>
      </c>
      <c r="P155" s="98">
        <v>506017</v>
      </c>
      <c r="Q155" s="98">
        <f>IF(C155=P155,1,2)</f>
        <v>1</v>
      </c>
    </row>
    <row r="156" spans="1:17" s="98" customFormat="1" ht="12">
      <c r="A156" s="102" t="s">
        <v>251</v>
      </c>
      <c r="B156" s="99" t="s">
        <v>1009</v>
      </c>
      <c r="C156" s="102">
        <v>506018</v>
      </c>
      <c r="D156" s="99">
        <v>1506018</v>
      </c>
      <c r="E156" s="102" t="s">
        <v>253</v>
      </c>
      <c r="F156" s="103" t="s">
        <v>717</v>
      </c>
      <c r="G156" s="102" t="s">
        <v>406</v>
      </c>
      <c r="H156" s="102"/>
      <c r="I156" s="102"/>
      <c r="J156" s="102"/>
      <c r="K156" s="103"/>
      <c r="L156" s="143">
        <v>9506018</v>
      </c>
      <c r="M156" s="101" t="s">
        <v>253</v>
      </c>
      <c r="N156" s="101">
        <v>1</v>
      </c>
      <c r="O156" s="101" t="s">
        <v>371</v>
      </c>
      <c r="P156" s="98">
        <v>506018</v>
      </c>
      <c r="Q156" s="98">
        <f>IF(C156=P156,1,2)</f>
        <v>1</v>
      </c>
    </row>
    <row r="157" spans="1:17" s="98" customFormat="1" ht="12">
      <c r="A157" s="102" t="s">
        <v>1056</v>
      </c>
      <c r="B157" s="99" t="s">
        <v>1009</v>
      </c>
      <c r="C157" s="102">
        <v>506020</v>
      </c>
      <c r="D157" s="99">
        <v>1506020</v>
      </c>
      <c r="E157" s="102" t="s">
        <v>718</v>
      </c>
      <c r="F157" s="103" t="s">
        <v>719</v>
      </c>
      <c r="G157" s="102" t="s">
        <v>415</v>
      </c>
      <c r="H157" s="102"/>
      <c r="I157" s="102"/>
      <c r="J157" s="102"/>
      <c r="K157" s="103"/>
      <c r="L157" s="143">
        <v>9506020</v>
      </c>
      <c r="M157" s="101" t="s">
        <v>353</v>
      </c>
      <c r="N157" s="101" t="s">
        <v>371</v>
      </c>
      <c r="O157" s="101">
        <v>1</v>
      </c>
      <c r="P157" s="98">
        <v>506020</v>
      </c>
      <c r="Q157" s="98">
        <f>IF(C157=P157,1,2)</f>
        <v>1</v>
      </c>
    </row>
    <row r="158" spans="1:17" s="98" customFormat="1" ht="12">
      <c r="A158" s="102" t="s">
        <v>1056</v>
      </c>
      <c r="B158" s="99" t="s">
        <v>1009</v>
      </c>
      <c r="C158" s="102">
        <v>506021</v>
      </c>
      <c r="D158" s="99">
        <v>1506021</v>
      </c>
      <c r="E158" s="102" t="s">
        <v>720</v>
      </c>
      <c r="F158" s="103" t="s">
        <v>721</v>
      </c>
      <c r="G158" s="102" t="s">
        <v>415</v>
      </c>
      <c r="H158" s="102"/>
      <c r="I158" s="102"/>
      <c r="J158" s="102"/>
      <c r="K158" s="103"/>
      <c r="L158" s="143">
        <v>1506017</v>
      </c>
      <c r="M158" s="101" t="s">
        <v>252</v>
      </c>
      <c r="N158" s="101" t="s">
        <v>371</v>
      </c>
      <c r="O158" s="101">
        <v>1</v>
      </c>
      <c r="P158" s="98">
        <v>506017</v>
      </c>
      <c r="Q158" s="98">
        <f>IF(C158=P158,1,2)</f>
        <v>2</v>
      </c>
    </row>
    <row r="159" spans="1:17" s="98" customFormat="1" ht="12">
      <c r="A159" s="102" t="s">
        <v>1056</v>
      </c>
      <c r="B159" s="99" t="s">
        <v>1009</v>
      </c>
      <c r="C159" s="102">
        <v>506022</v>
      </c>
      <c r="D159" s="99">
        <v>1506022</v>
      </c>
      <c r="E159" s="102" t="s">
        <v>722</v>
      </c>
      <c r="F159" s="103" t="s">
        <v>723</v>
      </c>
      <c r="G159" s="102" t="s">
        <v>415</v>
      </c>
      <c r="H159" s="102"/>
      <c r="I159" s="102"/>
      <c r="J159" s="102"/>
      <c r="K159" s="103"/>
      <c r="L159" s="143">
        <v>9506022</v>
      </c>
      <c r="M159" s="101" t="s">
        <v>354</v>
      </c>
      <c r="N159" s="101" t="s">
        <v>371</v>
      </c>
      <c r="O159" s="101">
        <v>1</v>
      </c>
      <c r="P159" s="98">
        <v>506022</v>
      </c>
      <c r="Q159" s="98">
        <f>IF(C159=P159,1,2)</f>
        <v>1</v>
      </c>
    </row>
    <row r="160" spans="1:17" s="98" customFormat="1" ht="12">
      <c r="A160" s="102" t="s">
        <v>254</v>
      </c>
      <c r="B160" s="99" t="s">
        <v>1010</v>
      </c>
      <c r="C160" s="102">
        <v>507005</v>
      </c>
      <c r="D160" s="99">
        <v>1507005</v>
      </c>
      <c r="E160" s="102" t="s">
        <v>227</v>
      </c>
      <c r="F160" s="103" t="s">
        <v>724</v>
      </c>
      <c r="G160" s="105" t="s">
        <v>395</v>
      </c>
      <c r="H160" s="102"/>
      <c r="I160" s="102"/>
      <c r="J160" s="102"/>
      <c r="K160" s="103"/>
      <c r="L160" s="143">
        <v>1507005</v>
      </c>
      <c r="M160" s="101" t="s">
        <v>227</v>
      </c>
      <c r="N160" s="101" t="s">
        <v>371</v>
      </c>
      <c r="O160" s="101">
        <v>1</v>
      </c>
    </row>
    <row r="161" spans="1:17" s="98" customFormat="1" ht="12">
      <c r="A161" s="102" t="s">
        <v>254</v>
      </c>
      <c r="B161" s="99" t="s">
        <v>1010</v>
      </c>
      <c r="C161" s="102">
        <v>507006</v>
      </c>
      <c r="D161" s="99">
        <v>1507006</v>
      </c>
      <c r="E161" s="102" t="s">
        <v>228</v>
      </c>
      <c r="F161" s="103" t="s">
        <v>725</v>
      </c>
      <c r="G161" s="105" t="s">
        <v>395</v>
      </c>
      <c r="H161" s="102"/>
      <c r="I161" s="102"/>
      <c r="J161" s="102"/>
      <c r="K161" s="103"/>
      <c r="L161" s="143">
        <v>1507006</v>
      </c>
      <c r="M161" s="101" t="s">
        <v>228</v>
      </c>
      <c r="N161" s="101" t="s">
        <v>371</v>
      </c>
      <c r="O161" s="101">
        <v>1</v>
      </c>
    </row>
    <row r="162" spans="1:17" s="98" customFormat="1" ht="12">
      <c r="A162" s="102" t="s">
        <v>254</v>
      </c>
      <c r="B162" s="99" t="s">
        <v>1010</v>
      </c>
      <c r="C162" s="102">
        <v>507047</v>
      </c>
      <c r="D162" s="99">
        <v>1507047</v>
      </c>
      <c r="E162" s="102" t="s">
        <v>726</v>
      </c>
      <c r="F162" s="103" t="s">
        <v>727</v>
      </c>
      <c r="G162" s="102" t="s">
        <v>406</v>
      </c>
      <c r="H162" s="102"/>
      <c r="I162" s="102"/>
      <c r="J162" s="102"/>
      <c r="K162" s="103"/>
      <c r="L162" s="143">
        <v>9507047</v>
      </c>
      <c r="M162" s="101" t="s">
        <v>259</v>
      </c>
      <c r="N162" s="101" t="s">
        <v>371</v>
      </c>
      <c r="O162" s="101">
        <v>1</v>
      </c>
      <c r="P162" s="98">
        <v>507047</v>
      </c>
      <c r="Q162" s="98">
        <f>IF(C162=P162,1,2)</f>
        <v>1</v>
      </c>
    </row>
    <row r="163" spans="1:17" s="98" customFormat="1" ht="12">
      <c r="A163" s="102" t="s">
        <v>254</v>
      </c>
      <c r="B163" s="99" t="s">
        <v>1010</v>
      </c>
      <c r="C163" s="105">
        <v>507048</v>
      </c>
      <c r="D163" s="99">
        <v>1507048</v>
      </c>
      <c r="E163" s="105" t="s">
        <v>1072</v>
      </c>
      <c r="F163" s="106" t="s">
        <v>728</v>
      </c>
      <c r="G163" s="105" t="s">
        <v>406</v>
      </c>
      <c r="H163" s="102"/>
      <c r="I163" s="102"/>
      <c r="J163" s="102"/>
      <c r="K163" s="103"/>
      <c r="L163" s="143">
        <v>9507048</v>
      </c>
      <c r="M163" s="101" t="s">
        <v>729</v>
      </c>
      <c r="N163" s="101" t="s">
        <v>371</v>
      </c>
      <c r="O163" s="101">
        <v>1</v>
      </c>
      <c r="P163" s="98">
        <v>507048</v>
      </c>
      <c r="Q163" s="98">
        <f>IF(C163=P163,1,2)</f>
        <v>1</v>
      </c>
    </row>
    <row r="164" spans="1:17" s="98" customFormat="1" ht="12">
      <c r="A164" s="102" t="s">
        <v>254</v>
      </c>
      <c r="B164" s="99" t="s">
        <v>1010</v>
      </c>
      <c r="C164" s="107">
        <v>507990</v>
      </c>
      <c r="D164" s="99">
        <v>1507990</v>
      </c>
      <c r="E164" s="102" t="s">
        <v>1085</v>
      </c>
      <c r="F164" s="103" t="s">
        <v>730</v>
      </c>
      <c r="G164" s="102"/>
      <c r="H164" s="102"/>
      <c r="I164" s="99">
        <v>3507990</v>
      </c>
      <c r="J164" s="102" t="s">
        <v>731</v>
      </c>
      <c r="K164" s="103" t="s">
        <v>730</v>
      </c>
      <c r="L164" s="143">
        <v>1507990</v>
      </c>
      <c r="M164" s="101" t="s">
        <v>732</v>
      </c>
      <c r="N164" s="101" t="s">
        <v>371</v>
      </c>
      <c r="O164" s="101">
        <v>1</v>
      </c>
    </row>
    <row r="165" spans="1:17" s="98" customFormat="1" ht="12">
      <c r="A165" s="102" t="s">
        <v>254</v>
      </c>
      <c r="B165" s="99" t="s">
        <v>1010</v>
      </c>
      <c r="C165" s="107">
        <v>507991</v>
      </c>
      <c r="D165" s="99">
        <v>1507991</v>
      </c>
      <c r="E165" s="102" t="s">
        <v>1069</v>
      </c>
      <c r="F165" s="103" t="s">
        <v>733</v>
      </c>
      <c r="G165" s="102"/>
      <c r="H165" s="102"/>
      <c r="I165" s="102"/>
      <c r="J165" s="102"/>
      <c r="K165" s="103"/>
      <c r="L165" s="143">
        <v>1606007</v>
      </c>
      <c r="M165" s="101" t="s">
        <v>734</v>
      </c>
      <c r="N165" s="101" t="s">
        <v>371</v>
      </c>
      <c r="O165" s="101">
        <v>1</v>
      </c>
    </row>
    <row r="166" spans="1:17" s="98" customFormat="1" ht="12">
      <c r="A166" s="102" t="s">
        <v>260</v>
      </c>
      <c r="B166" s="99" t="s">
        <v>1011</v>
      </c>
      <c r="C166" s="102">
        <v>508012</v>
      </c>
      <c r="D166" s="99">
        <v>1508012</v>
      </c>
      <c r="E166" s="102" t="s">
        <v>230</v>
      </c>
      <c r="F166" s="103" t="s">
        <v>735</v>
      </c>
      <c r="G166" s="102" t="s">
        <v>395</v>
      </c>
      <c r="H166" s="102"/>
      <c r="I166" s="102"/>
      <c r="J166" s="102"/>
      <c r="K166" s="103"/>
      <c r="L166" s="143">
        <v>1508012</v>
      </c>
      <c r="M166" s="101" t="s">
        <v>230</v>
      </c>
      <c r="N166" s="101">
        <v>1</v>
      </c>
      <c r="O166" s="101" t="s">
        <v>371</v>
      </c>
    </row>
    <row r="167" spans="1:17" s="98" customFormat="1" ht="12">
      <c r="A167" s="102" t="s">
        <v>260</v>
      </c>
      <c r="B167" s="99" t="s">
        <v>1011</v>
      </c>
      <c r="C167" s="102">
        <v>508016</v>
      </c>
      <c r="D167" s="99">
        <v>1508016</v>
      </c>
      <c r="E167" s="105" t="s">
        <v>736</v>
      </c>
      <c r="F167" s="106" t="s">
        <v>737</v>
      </c>
      <c r="G167" s="102" t="s">
        <v>395</v>
      </c>
      <c r="H167" s="102"/>
      <c r="I167" s="102"/>
      <c r="J167" s="102"/>
      <c r="K167" s="103"/>
      <c r="L167" s="143">
        <v>1508016</v>
      </c>
      <c r="M167" s="101" t="s">
        <v>738</v>
      </c>
      <c r="N167" s="101">
        <v>1</v>
      </c>
      <c r="O167" s="101" t="s">
        <v>371</v>
      </c>
    </row>
    <row r="168" spans="1:17" s="98" customFormat="1" ht="12">
      <c r="A168" s="102" t="s">
        <v>260</v>
      </c>
      <c r="B168" s="99" t="s">
        <v>1011</v>
      </c>
      <c r="C168" s="102">
        <v>508029</v>
      </c>
      <c r="D168" s="99">
        <v>1508029</v>
      </c>
      <c r="E168" s="102" t="s">
        <v>231</v>
      </c>
      <c r="F168" s="103" t="s">
        <v>739</v>
      </c>
      <c r="G168" s="102" t="s">
        <v>395</v>
      </c>
      <c r="H168" s="102"/>
      <c r="I168" s="102"/>
      <c r="J168" s="102"/>
      <c r="K168" s="103"/>
      <c r="L168" s="143">
        <v>1508029</v>
      </c>
      <c r="M168" s="101" t="s">
        <v>231</v>
      </c>
      <c r="N168" s="101">
        <v>1</v>
      </c>
      <c r="O168" s="101" t="s">
        <v>371</v>
      </c>
    </row>
    <row r="169" spans="1:17" s="98" customFormat="1" ht="12">
      <c r="A169" s="102" t="s">
        <v>260</v>
      </c>
      <c r="B169" s="99" t="s">
        <v>1011</v>
      </c>
      <c r="C169" s="102">
        <v>508038</v>
      </c>
      <c r="D169" s="99">
        <v>1508038</v>
      </c>
      <c r="E169" s="102" t="s">
        <v>740</v>
      </c>
      <c r="F169" s="103" t="s">
        <v>741</v>
      </c>
      <c r="G169" s="102" t="s">
        <v>566</v>
      </c>
      <c r="H169" s="102"/>
      <c r="I169" s="102"/>
      <c r="J169" s="102"/>
      <c r="K169" s="103"/>
      <c r="L169" s="143">
        <v>1508038</v>
      </c>
      <c r="M169" s="101" t="s">
        <v>742</v>
      </c>
      <c r="N169" s="101" t="s">
        <v>371</v>
      </c>
      <c r="O169" s="101">
        <v>1</v>
      </c>
    </row>
    <row r="170" spans="1:17" s="98" customFormat="1" ht="12">
      <c r="A170" s="102" t="s">
        <v>260</v>
      </c>
      <c r="B170" s="99" t="s">
        <v>1011</v>
      </c>
      <c r="C170" s="102">
        <v>508050</v>
      </c>
      <c r="D170" s="99">
        <v>1508050</v>
      </c>
      <c r="E170" s="102" t="s">
        <v>270</v>
      </c>
      <c r="F170" s="103" t="s">
        <v>745</v>
      </c>
      <c r="G170" s="102" t="s">
        <v>395</v>
      </c>
      <c r="H170" s="102"/>
      <c r="I170" s="102"/>
      <c r="J170" s="102"/>
      <c r="K170" s="103"/>
      <c r="L170" s="143">
        <v>1508016</v>
      </c>
      <c r="M170" s="101" t="s">
        <v>738</v>
      </c>
      <c r="N170" s="101">
        <v>1</v>
      </c>
      <c r="O170" s="101" t="s">
        <v>371</v>
      </c>
    </row>
    <row r="171" spans="1:17" s="98" customFormat="1" ht="12">
      <c r="A171" s="102" t="s">
        <v>260</v>
      </c>
      <c r="B171" s="99" t="s">
        <v>1011</v>
      </c>
      <c r="C171" s="102">
        <v>508058</v>
      </c>
      <c r="D171" s="99"/>
      <c r="E171" s="102"/>
      <c r="F171" s="103"/>
      <c r="G171" s="102"/>
      <c r="H171" s="102"/>
      <c r="I171" s="99">
        <v>3508058</v>
      </c>
      <c r="J171" s="102" t="s">
        <v>746</v>
      </c>
      <c r="K171" s="103" t="s">
        <v>747</v>
      </c>
      <c r="L171" s="143">
        <v>1306085</v>
      </c>
      <c r="M171" s="101" t="s">
        <v>181</v>
      </c>
      <c r="N171" s="101" t="s">
        <v>371</v>
      </c>
      <c r="O171" s="101">
        <v>1</v>
      </c>
    </row>
    <row r="172" spans="1:17" s="98" customFormat="1" ht="12">
      <c r="A172" s="102" t="s">
        <v>275</v>
      </c>
      <c r="B172" s="99" t="s">
        <v>1012</v>
      </c>
      <c r="C172" s="102">
        <v>509003</v>
      </c>
      <c r="D172" s="99">
        <v>1509003</v>
      </c>
      <c r="E172" s="102" t="s">
        <v>748</v>
      </c>
      <c r="F172" s="103" t="s">
        <v>749</v>
      </c>
      <c r="G172" s="102" t="s">
        <v>395</v>
      </c>
      <c r="H172" s="102"/>
      <c r="I172" s="99">
        <v>3509003</v>
      </c>
      <c r="J172" s="102" t="s">
        <v>750</v>
      </c>
      <c r="K172" s="103" t="s">
        <v>749</v>
      </c>
      <c r="L172" s="143">
        <v>1509003</v>
      </c>
      <c r="M172" s="101" t="s">
        <v>751</v>
      </c>
      <c r="N172" s="101" t="s">
        <v>371</v>
      </c>
      <c r="O172" s="101">
        <v>1</v>
      </c>
    </row>
    <row r="173" spans="1:17" s="98" customFormat="1" ht="12">
      <c r="A173" s="102" t="s">
        <v>275</v>
      </c>
      <c r="B173" s="99" t="s">
        <v>1012</v>
      </c>
      <c r="C173" s="102">
        <v>509016</v>
      </c>
      <c r="D173" s="99">
        <v>1509016</v>
      </c>
      <c r="E173" s="102" t="s">
        <v>278</v>
      </c>
      <c r="F173" s="103" t="s">
        <v>754</v>
      </c>
      <c r="G173" s="102" t="s">
        <v>406</v>
      </c>
      <c r="H173" s="102"/>
      <c r="I173" s="102"/>
      <c r="J173" s="102"/>
      <c r="K173" s="103"/>
      <c r="L173" s="143">
        <v>9509016</v>
      </c>
      <c r="M173" s="101" t="s">
        <v>278</v>
      </c>
      <c r="N173" s="101" t="s">
        <v>371</v>
      </c>
      <c r="O173" s="101">
        <v>1</v>
      </c>
      <c r="P173" s="98">
        <v>509016</v>
      </c>
      <c r="Q173" s="98">
        <f>IF(C173=P173,1,2)</f>
        <v>1</v>
      </c>
    </row>
    <row r="174" spans="1:17" s="98" customFormat="1" ht="12">
      <c r="A174" s="102" t="s">
        <v>275</v>
      </c>
      <c r="B174" s="99" t="s">
        <v>1012</v>
      </c>
      <c r="C174" s="102">
        <v>509017</v>
      </c>
      <c r="D174" s="99">
        <v>1509017</v>
      </c>
      <c r="E174" s="102" t="s">
        <v>279</v>
      </c>
      <c r="F174" s="103" t="s">
        <v>755</v>
      </c>
      <c r="G174" s="102" t="s">
        <v>406</v>
      </c>
      <c r="H174" s="102"/>
      <c r="I174" s="102"/>
      <c r="J174" s="102"/>
      <c r="K174" s="103"/>
      <c r="L174" s="143">
        <v>9509017</v>
      </c>
      <c r="M174" s="101" t="s">
        <v>279</v>
      </c>
      <c r="N174" s="101" t="s">
        <v>371</v>
      </c>
      <c r="O174" s="101">
        <v>1</v>
      </c>
      <c r="P174" s="98">
        <v>509017</v>
      </c>
      <c r="Q174" s="98">
        <f>IF(C174=P174,1,2)</f>
        <v>1</v>
      </c>
    </row>
    <row r="175" spans="1:17" s="98" customFormat="1" ht="12">
      <c r="A175" s="102" t="s">
        <v>275</v>
      </c>
      <c r="B175" s="99" t="s">
        <v>1012</v>
      </c>
      <c r="C175" s="109">
        <v>509018</v>
      </c>
      <c r="D175" s="99">
        <v>1509018</v>
      </c>
      <c r="E175" s="109" t="s">
        <v>280</v>
      </c>
      <c r="F175" s="103" t="s">
        <v>756</v>
      </c>
      <c r="G175" s="102" t="s">
        <v>406</v>
      </c>
      <c r="H175" s="102"/>
      <c r="I175" s="102"/>
      <c r="J175" s="102"/>
      <c r="K175" s="103"/>
      <c r="L175" s="143">
        <v>9509018</v>
      </c>
      <c r="M175" s="101" t="s">
        <v>280</v>
      </c>
      <c r="N175" s="101" t="s">
        <v>371</v>
      </c>
      <c r="O175" s="101">
        <v>1</v>
      </c>
      <c r="P175" s="98">
        <v>509018</v>
      </c>
      <c r="Q175" s="98">
        <f>IF(C175=P175,1,2)</f>
        <v>1</v>
      </c>
    </row>
    <row r="176" spans="1:17" s="98" customFormat="1" ht="12">
      <c r="A176" s="102" t="s">
        <v>275</v>
      </c>
      <c r="B176" s="99" t="s">
        <v>1012</v>
      </c>
      <c r="C176" s="109">
        <v>509018</v>
      </c>
      <c r="D176" s="99">
        <v>1509018</v>
      </c>
      <c r="E176" s="109" t="s">
        <v>757</v>
      </c>
      <c r="F176" s="103" t="s">
        <v>758</v>
      </c>
      <c r="G176" s="102" t="s">
        <v>406</v>
      </c>
      <c r="H176" s="102"/>
      <c r="I176" s="102"/>
      <c r="J176" s="102"/>
      <c r="K176" s="103"/>
      <c r="L176" s="143">
        <v>9509018</v>
      </c>
      <c r="M176" s="101" t="s">
        <v>280</v>
      </c>
      <c r="N176" s="101" t="s">
        <v>371</v>
      </c>
      <c r="O176" s="101">
        <v>1</v>
      </c>
      <c r="P176" s="98">
        <v>509018</v>
      </c>
      <c r="Q176" s="98">
        <f>IF(C176=P176,1,2)</f>
        <v>1</v>
      </c>
    </row>
    <row r="177" spans="1:17" s="98" customFormat="1" ht="12">
      <c r="A177" s="102" t="s">
        <v>275</v>
      </c>
      <c r="B177" s="99" t="s">
        <v>1012</v>
      </c>
      <c r="C177" s="102">
        <v>509019</v>
      </c>
      <c r="D177" s="99">
        <v>1509019</v>
      </c>
      <c r="E177" s="102" t="s">
        <v>759</v>
      </c>
      <c r="F177" s="103" t="s">
        <v>760</v>
      </c>
      <c r="G177" s="102" t="s">
        <v>453</v>
      </c>
      <c r="H177" s="102"/>
      <c r="I177" s="102"/>
      <c r="J177" s="102"/>
      <c r="K177" s="103"/>
      <c r="L177" s="143">
        <v>9509019</v>
      </c>
      <c r="M177" s="101" t="s">
        <v>355</v>
      </c>
      <c r="N177" s="101" t="s">
        <v>371</v>
      </c>
      <c r="O177" s="101">
        <v>1</v>
      </c>
      <c r="P177" s="98">
        <v>509019</v>
      </c>
      <c r="Q177" s="98">
        <f>IF(C177=P177,1,2)</f>
        <v>1</v>
      </c>
    </row>
    <row r="178" spans="1:17" s="98" customFormat="1" ht="12">
      <c r="A178" s="102" t="s">
        <v>275</v>
      </c>
      <c r="B178" s="99" t="s">
        <v>1012</v>
      </c>
      <c r="C178" s="107">
        <v>509990</v>
      </c>
      <c r="D178" s="99">
        <v>1509990</v>
      </c>
      <c r="E178" s="102" t="s">
        <v>281</v>
      </c>
      <c r="F178" s="103" t="s">
        <v>761</v>
      </c>
      <c r="G178" s="102"/>
      <c r="H178" s="102"/>
      <c r="I178" s="99">
        <v>3509990</v>
      </c>
      <c r="J178" s="102" t="s">
        <v>762</v>
      </c>
      <c r="K178" s="103" t="s">
        <v>761</v>
      </c>
      <c r="L178" s="143">
        <v>1509990</v>
      </c>
      <c r="M178" s="101" t="s">
        <v>763</v>
      </c>
      <c r="N178" s="101" t="s">
        <v>371</v>
      </c>
      <c r="O178" s="101">
        <v>1</v>
      </c>
    </row>
    <row r="179" spans="1:17" s="98" customFormat="1" ht="12">
      <c r="A179" s="102" t="s">
        <v>275</v>
      </c>
      <c r="B179" s="99" t="s">
        <v>1012</v>
      </c>
      <c r="C179" s="107">
        <v>509991</v>
      </c>
      <c r="D179" s="99">
        <v>1509991</v>
      </c>
      <c r="E179" s="102" t="s">
        <v>764</v>
      </c>
      <c r="F179" s="103" t="s">
        <v>765</v>
      </c>
      <c r="G179" s="102" t="s">
        <v>415</v>
      </c>
      <c r="H179" s="102"/>
      <c r="I179" s="102"/>
      <c r="J179" s="102"/>
      <c r="K179" s="103"/>
      <c r="L179" s="143">
        <v>9509991</v>
      </c>
      <c r="M179" s="101" t="s">
        <v>356</v>
      </c>
      <c r="N179" s="101" t="s">
        <v>371</v>
      </c>
      <c r="O179" s="101">
        <v>1</v>
      </c>
      <c r="P179" s="98">
        <v>509991</v>
      </c>
      <c r="Q179" s="98">
        <f>IF(C179=P179,1,2)</f>
        <v>1</v>
      </c>
    </row>
    <row r="180" spans="1:17" s="98" customFormat="1" ht="12">
      <c r="A180" s="102" t="s">
        <v>275</v>
      </c>
      <c r="B180" s="99" t="s">
        <v>1012</v>
      </c>
      <c r="C180" s="131">
        <v>509992</v>
      </c>
      <c r="D180" s="99">
        <v>1509992</v>
      </c>
      <c r="E180" s="131" t="s">
        <v>766</v>
      </c>
      <c r="F180" s="132"/>
      <c r="G180" s="131" t="s">
        <v>406</v>
      </c>
      <c r="H180" s="131"/>
      <c r="I180" s="131"/>
      <c r="J180" s="131"/>
      <c r="K180" s="132"/>
      <c r="L180" s="143">
        <v>1907013</v>
      </c>
      <c r="M180" s="101" t="s">
        <v>119</v>
      </c>
      <c r="N180" s="101" t="s">
        <v>371</v>
      </c>
      <c r="O180" s="101">
        <v>1</v>
      </c>
      <c r="P180" s="98">
        <v>907013</v>
      </c>
      <c r="Q180" s="98">
        <f>IF(C180=P180,1,2)</f>
        <v>2</v>
      </c>
    </row>
    <row r="181" spans="1:17" s="98" customFormat="1" ht="12">
      <c r="A181" s="102" t="s">
        <v>123</v>
      </c>
      <c r="B181" s="99" t="s">
        <v>1013</v>
      </c>
      <c r="C181" s="102">
        <v>601006</v>
      </c>
      <c r="D181" s="99">
        <v>1601006</v>
      </c>
      <c r="E181" s="102" t="s">
        <v>63</v>
      </c>
      <c r="F181" s="103" t="s">
        <v>768</v>
      </c>
      <c r="G181" s="102" t="s">
        <v>769</v>
      </c>
      <c r="H181" s="102"/>
      <c r="I181" s="102"/>
      <c r="J181" s="102"/>
      <c r="K181" s="103"/>
      <c r="L181" s="143">
        <v>1601006</v>
      </c>
      <c r="M181" s="101" t="s">
        <v>63</v>
      </c>
      <c r="N181" s="101" t="s">
        <v>371</v>
      </c>
      <c r="O181" s="101">
        <v>1</v>
      </c>
    </row>
    <row r="182" spans="1:17" s="98" customFormat="1" ht="12">
      <c r="A182" s="102" t="s">
        <v>123</v>
      </c>
      <c r="B182" s="99" t="s">
        <v>1013</v>
      </c>
      <c r="C182" s="107">
        <v>601991</v>
      </c>
      <c r="D182" s="99">
        <v>1601991</v>
      </c>
      <c r="E182" s="102" t="s">
        <v>283</v>
      </c>
      <c r="F182" s="103" t="s">
        <v>532</v>
      </c>
      <c r="G182" s="102" t="s">
        <v>406</v>
      </c>
      <c r="H182" s="102"/>
      <c r="I182" s="102"/>
      <c r="J182" s="102"/>
      <c r="K182" s="103"/>
      <c r="L182" s="143">
        <v>9601991</v>
      </c>
      <c r="M182" s="101" t="s">
        <v>283</v>
      </c>
      <c r="N182" s="101" t="s">
        <v>371</v>
      </c>
      <c r="O182" s="101">
        <v>1</v>
      </c>
      <c r="P182" s="98">
        <v>601991</v>
      </c>
      <c r="Q182" s="98">
        <f>IF(C182=P182,1,2)</f>
        <v>1</v>
      </c>
    </row>
    <row r="183" spans="1:17" s="98" customFormat="1" ht="12">
      <c r="A183" s="102" t="s">
        <v>123</v>
      </c>
      <c r="B183" s="99" t="s">
        <v>1013</v>
      </c>
      <c r="C183" s="107">
        <v>601992</v>
      </c>
      <c r="D183" s="99">
        <v>1601992</v>
      </c>
      <c r="E183" s="105" t="s">
        <v>1073</v>
      </c>
      <c r="F183" s="106" t="s">
        <v>771</v>
      </c>
      <c r="G183" s="105" t="s">
        <v>406</v>
      </c>
      <c r="H183" s="102"/>
      <c r="I183" s="102"/>
      <c r="J183" s="102"/>
      <c r="K183" s="103"/>
      <c r="L183" s="143">
        <v>9601992</v>
      </c>
      <c r="M183" s="101" t="s">
        <v>772</v>
      </c>
      <c r="N183" s="101" t="s">
        <v>371</v>
      </c>
      <c r="O183" s="101">
        <v>1</v>
      </c>
      <c r="P183" s="98">
        <v>601992</v>
      </c>
      <c r="Q183" s="98">
        <f>IF(C183=P183,1,2)</f>
        <v>1</v>
      </c>
    </row>
    <row r="184" spans="1:17" s="98" customFormat="1" ht="12">
      <c r="A184" s="102" t="s">
        <v>284</v>
      </c>
      <c r="B184" s="99" t="s">
        <v>1014</v>
      </c>
      <c r="C184" s="102">
        <v>602021</v>
      </c>
      <c r="D184" s="99">
        <v>1602021</v>
      </c>
      <c r="E184" s="102" t="s">
        <v>237</v>
      </c>
      <c r="F184" s="103" t="s">
        <v>773</v>
      </c>
      <c r="G184" s="102" t="s">
        <v>395</v>
      </c>
      <c r="H184" s="102"/>
      <c r="I184" s="102"/>
      <c r="J184" s="102"/>
      <c r="K184" s="103"/>
      <c r="L184" s="143">
        <v>1602021</v>
      </c>
      <c r="M184" s="101" t="s">
        <v>237</v>
      </c>
      <c r="N184" s="101">
        <v>1</v>
      </c>
      <c r="O184" s="101" t="s">
        <v>371</v>
      </c>
    </row>
    <row r="185" spans="1:17" s="98" customFormat="1" ht="12">
      <c r="A185" s="102" t="s">
        <v>284</v>
      </c>
      <c r="B185" s="99" t="s">
        <v>1014</v>
      </c>
      <c r="C185" s="102">
        <v>602027</v>
      </c>
      <c r="D185" s="99">
        <v>1602027</v>
      </c>
      <c r="E185" s="102" t="s">
        <v>239</v>
      </c>
      <c r="F185" s="103" t="s">
        <v>774</v>
      </c>
      <c r="G185" s="102" t="s">
        <v>398</v>
      </c>
      <c r="H185" s="102"/>
      <c r="I185" s="99">
        <v>3602027</v>
      </c>
      <c r="J185" s="102" t="s">
        <v>775</v>
      </c>
      <c r="K185" s="103" t="s">
        <v>774</v>
      </c>
      <c r="L185" s="143">
        <v>1602027</v>
      </c>
      <c r="M185" s="101" t="s">
        <v>239</v>
      </c>
      <c r="N185" s="101" t="s">
        <v>371</v>
      </c>
      <c r="O185" s="101">
        <v>1</v>
      </c>
    </row>
    <row r="186" spans="1:17" s="98" customFormat="1" ht="12">
      <c r="A186" s="102" t="s">
        <v>284</v>
      </c>
      <c r="B186" s="99" t="s">
        <v>1014</v>
      </c>
      <c r="C186" s="102">
        <v>602036</v>
      </c>
      <c r="D186" s="99">
        <v>1602036</v>
      </c>
      <c r="E186" s="102" t="s">
        <v>778</v>
      </c>
      <c r="F186" s="103" t="s">
        <v>779</v>
      </c>
      <c r="G186" s="102" t="s">
        <v>398</v>
      </c>
      <c r="H186" s="102"/>
      <c r="I186" s="102"/>
      <c r="J186" s="102"/>
      <c r="K186" s="103"/>
      <c r="L186" s="143">
        <v>1602036</v>
      </c>
      <c r="M186" s="101" t="s">
        <v>780</v>
      </c>
      <c r="N186" s="101" t="s">
        <v>371</v>
      </c>
      <c r="O186" s="101">
        <v>1</v>
      </c>
    </row>
    <row r="187" spans="1:17" s="98" customFormat="1" ht="12">
      <c r="A187" s="102" t="s">
        <v>284</v>
      </c>
      <c r="B187" s="99" t="s">
        <v>1014</v>
      </c>
      <c r="C187" s="102">
        <v>602037</v>
      </c>
      <c r="D187" s="99">
        <v>1602037</v>
      </c>
      <c r="E187" s="102" t="s">
        <v>287</v>
      </c>
      <c r="F187" s="103" t="s">
        <v>781</v>
      </c>
      <c r="G187" s="102" t="s">
        <v>398</v>
      </c>
      <c r="H187" s="102"/>
      <c r="I187" s="102"/>
      <c r="J187" s="102"/>
      <c r="K187" s="103"/>
      <c r="L187" s="143">
        <v>1602024</v>
      </c>
      <c r="M187" s="101" t="s">
        <v>238</v>
      </c>
      <c r="N187" s="101">
        <v>1</v>
      </c>
      <c r="O187" s="101" t="s">
        <v>371</v>
      </c>
    </row>
    <row r="188" spans="1:17" s="98" customFormat="1" ht="12">
      <c r="A188" s="102" t="s">
        <v>284</v>
      </c>
      <c r="B188" s="99" t="s">
        <v>1014</v>
      </c>
      <c r="C188" s="102">
        <v>602039</v>
      </c>
      <c r="D188" s="99">
        <v>1602039</v>
      </c>
      <c r="E188" s="102" t="s">
        <v>288</v>
      </c>
      <c r="F188" s="103" t="s">
        <v>783</v>
      </c>
      <c r="G188" s="102" t="s">
        <v>398</v>
      </c>
      <c r="H188" s="102" t="s">
        <v>447</v>
      </c>
      <c r="I188" s="102"/>
      <c r="J188" s="102"/>
      <c r="K188" s="103"/>
      <c r="L188" s="143">
        <v>1602040</v>
      </c>
      <c r="M188" s="101" t="s">
        <v>241</v>
      </c>
      <c r="N188" s="101" t="s">
        <v>371</v>
      </c>
      <c r="O188" s="101">
        <v>1</v>
      </c>
    </row>
    <row r="189" spans="1:17" s="98" customFormat="1" ht="12">
      <c r="A189" s="102" t="s">
        <v>1057</v>
      </c>
      <c r="B189" s="99" t="s">
        <v>1014</v>
      </c>
      <c r="C189" s="107">
        <v>602990</v>
      </c>
      <c r="D189" s="99">
        <v>1602990</v>
      </c>
      <c r="E189" s="102" t="s">
        <v>784</v>
      </c>
      <c r="F189" s="103" t="s">
        <v>785</v>
      </c>
      <c r="G189" s="102" t="s">
        <v>415</v>
      </c>
      <c r="H189" s="102"/>
      <c r="I189" s="102"/>
      <c r="J189" s="102"/>
      <c r="K189" s="103"/>
      <c r="L189" s="143">
        <v>1301026</v>
      </c>
      <c r="M189" s="101" t="s">
        <v>160</v>
      </c>
      <c r="N189" s="101" t="s">
        <v>371</v>
      </c>
      <c r="O189" s="101">
        <v>1</v>
      </c>
      <c r="P189" s="98">
        <v>301026</v>
      </c>
      <c r="Q189" s="98">
        <f>IF(C189=P189,1,2)</f>
        <v>2</v>
      </c>
    </row>
    <row r="190" spans="1:17" s="98" customFormat="1" ht="12">
      <c r="A190" s="102" t="s">
        <v>1057</v>
      </c>
      <c r="B190" s="99" t="s">
        <v>1014</v>
      </c>
      <c r="C190" s="107">
        <v>602991</v>
      </c>
      <c r="D190" s="99">
        <v>1602991</v>
      </c>
      <c r="E190" s="102" t="s">
        <v>786</v>
      </c>
      <c r="F190" s="103" t="s">
        <v>787</v>
      </c>
      <c r="G190" s="102" t="s">
        <v>415</v>
      </c>
      <c r="H190" s="102"/>
      <c r="I190" s="102"/>
      <c r="J190" s="102"/>
      <c r="K190" s="103"/>
      <c r="L190" s="143">
        <v>9602991</v>
      </c>
      <c r="M190" s="101" t="s">
        <v>357</v>
      </c>
      <c r="N190" s="101">
        <v>1</v>
      </c>
      <c r="O190" s="101" t="s">
        <v>371</v>
      </c>
      <c r="P190" s="98">
        <v>602991</v>
      </c>
      <c r="Q190" s="98">
        <f>IF(C190=P190,1,2)</f>
        <v>1</v>
      </c>
    </row>
    <row r="191" spans="1:17" s="98" customFormat="1" ht="12">
      <c r="A191" s="102" t="s">
        <v>284</v>
      </c>
      <c r="B191" s="99" t="s">
        <v>1014</v>
      </c>
      <c r="C191" s="107">
        <v>602992</v>
      </c>
      <c r="D191" s="99">
        <v>1602992</v>
      </c>
      <c r="E191" s="105" t="s">
        <v>1074</v>
      </c>
      <c r="F191" s="106" t="s">
        <v>788</v>
      </c>
      <c r="G191" s="105" t="s">
        <v>406</v>
      </c>
      <c r="H191" s="102"/>
      <c r="I191" s="102"/>
      <c r="J191" s="102"/>
      <c r="K191" s="103"/>
      <c r="L191" s="143">
        <v>1603099</v>
      </c>
      <c r="M191" s="101" t="s">
        <v>306</v>
      </c>
      <c r="N191" s="101" t="s">
        <v>371</v>
      </c>
      <c r="O191" s="101">
        <v>1</v>
      </c>
      <c r="P191" s="98">
        <v>603099</v>
      </c>
      <c r="Q191" s="98">
        <f>IF(C191=P191,1,2)</f>
        <v>2</v>
      </c>
    </row>
    <row r="192" spans="1:17" s="98" customFormat="1" ht="12">
      <c r="A192" s="102" t="s">
        <v>289</v>
      </c>
      <c r="B192" s="99" t="s">
        <v>1015</v>
      </c>
      <c r="C192" s="102">
        <v>603029</v>
      </c>
      <c r="D192" s="99">
        <v>1603029</v>
      </c>
      <c r="E192" s="102" t="s">
        <v>293</v>
      </c>
      <c r="F192" s="103" t="s">
        <v>789</v>
      </c>
      <c r="G192" s="102" t="s">
        <v>406</v>
      </c>
      <c r="H192" s="102"/>
      <c r="I192" s="102"/>
      <c r="J192" s="102"/>
      <c r="K192" s="103"/>
      <c r="L192" s="143">
        <v>9603029</v>
      </c>
      <c r="M192" s="101" t="s">
        <v>293</v>
      </c>
      <c r="N192" s="101" t="s">
        <v>371</v>
      </c>
      <c r="O192" s="101">
        <v>1</v>
      </c>
      <c r="P192" s="98">
        <v>603029</v>
      </c>
      <c r="Q192" s="98">
        <f>IF(C192=P192,1,2)</f>
        <v>1</v>
      </c>
    </row>
    <row r="193" spans="1:17" s="98" customFormat="1" ht="12">
      <c r="A193" s="102" t="s">
        <v>289</v>
      </c>
      <c r="B193" s="99" t="s">
        <v>1015</v>
      </c>
      <c r="C193" s="102">
        <v>603077</v>
      </c>
      <c r="D193" s="99">
        <v>1603077</v>
      </c>
      <c r="E193" s="102" t="s">
        <v>248</v>
      </c>
      <c r="F193" s="103" t="s">
        <v>796</v>
      </c>
      <c r="G193" s="102" t="s">
        <v>398</v>
      </c>
      <c r="H193" s="102"/>
      <c r="I193" s="99">
        <v>3603077</v>
      </c>
      <c r="J193" s="102" t="s">
        <v>797</v>
      </c>
      <c r="K193" s="103" t="s">
        <v>796</v>
      </c>
      <c r="L193" s="143">
        <v>1603077</v>
      </c>
      <c r="M193" s="101" t="s">
        <v>248</v>
      </c>
      <c r="N193" s="101" t="s">
        <v>371</v>
      </c>
      <c r="O193" s="101">
        <v>1</v>
      </c>
    </row>
    <row r="194" spans="1:17" s="98" customFormat="1" ht="12">
      <c r="A194" s="102" t="s">
        <v>289</v>
      </c>
      <c r="B194" s="99" t="s">
        <v>1015</v>
      </c>
      <c r="C194" s="102">
        <v>603095</v>
      </c>
      <c r="D194" s="99">
        <v>1603095</v>
      </c>
      <c r="E194" s="102" t="s">
        <v>301</v>
      </c>
      <c r="F194" s="103" t="s">
        <v>798</v>
      </c>
      <c r="G194" s="102" t="s">
        <v>406</v>
      </c>
      <c r="H194" s="102"/>
      <c r="I194" s="102"/>
      <c r="J194" s="102"/>
      <c r="K194" s="103"/>
      <c r="L194" s="143">
        <v>9603095</v>
      </c>
      <c r="M194" s="101" t="s">
        <v>301</v>
      </c>
      <c r="N194" s="101" t="s">
        <v>371</v>
      </c>
      <c r="O194" s="101">
        <v>1</v>
      </c>
      <c r="P194" s="98">
        <v>603095</v>
      </c>
      <c r="Q194" s="98">
        <f t="shared" ref="Q194:Q203" si="1">IF(C194=P194,1,2)</f>
        <v>1</v>
      </c>
    </row>
    <row r="195" spans="1:17" s="98" customFormat="1" ht="12">
      <c r="A195" s="102" t="s">
        <v>289</v>
      </c>
      <c r="B195" s="99" t="s">
        <v>1015</v>
      </c>
      <c r="C195" s="102">
        <v>603096</v>
      </c>
      <c r="D195" s="99">
        <v>1603096</v>
      </c>
      <c r="E195" s="102" t="s">
        <v>303</v>
      </c>
      <c r="F195" s="103" t="s">
        <v>799</v>
      </c>
      <c r="G195" s="102" t="s">
        <v>406</v>
      </c>
      <c r="H195" s="102"/>
      <c r="I195" s="102"/>
      <c r="J195" s="102"/>
      <c r="K195" s="103"/>
      <c r="L195" s="143">
        <v>9603096</v>
      </c>
      <c r="M195" s="101" t="s">
        <v>303</v>
      </c>
      <c r="N195" s="101" t="s">
        <v>371</v>
      </c>
      <c r="O195" s="101">
        <v>1</v>
      </c>
      <c r="P195" s="98">
        <v>603096</v>
      </c>
      <c r="Q195" s="98">
        <f t="shared" si="1"/>
        <v>1</v>
      </c>
    </row>
    <row r="196" spans="1:17" s="98" customFormat="1" ht="12">
      <c r="A196" s="102" t="s">
        <v>289</v>
      </c>
      <c r="B196" s="99" t="s">
        <v>1015</v>
      </c>
      <c r="C196" s="102">
        <v>603097</v>
      </c>
      <c r="D196" s="99">
        <v>1603097</v>
      </c>
      <c r="E196" s="102" t="s">
        <v>304</v>
      </c>
      <c r="F196" s="103" t="s">
        <v>800</v>
      </c>
      <c r="G196" s="102" t="s">
        <v>406</v>
      </c>
      <c r="H196" s="102"/>
      <c r="I196" s="102"/>
      <c r="J196" s="102"/>
      <c r="K196" s="103"/>
      <c r="L196" s="143">
        <v>1603062</v>
      </c>
      <c r="M196" s="101" t="s">
        <v>247</v>
      </c>
      <c r="N196" s="101" t="s">
        <v>371</v>
      </c>
      <c r="O196" s="101">
        <v>1</v>
      </c>
      <c r="P196" s="98">
        <v>603062</v>
      </c>
      <c r="Q196" s="98">
        <f t="shared" si="1"/>
        <v>2</v>
      </c>
    </row>
    <row r="197" spans="1:17" s="98" customFormat="1" ht="12">
      <c r="A197" s="102" t="s">
        <v>289</v>
      </c>
      <c r="B197" s="99" t="s">
        <v>1015</v>
      </c>
      <c r="C197" s="102">
        <v>603098</v>
      </c>
      <c r="D197" s="99">
        <v>1603098</v>
      </c>
      <c r="E197" s="102" t="s">
        <v>305</v>
      </c>
      <c r="F197" s="103" t="s">
        <v>801</v>
      </c>
      <c r="G197" s="102" t="s">
        <v>406</v>
      </c>
      <c r="H197" s="102"/>
      <c r="I197" s="102"/>
      <c r="J197" s="102"/>
      <c r="K197" s="103"/>
      <c r="L197" s="143">
        <v>1901070</v>
      </c>
      <c r="M197" s="101" t="s">
        <v>802</v>
      </c>
      <c r="N197" s="101">
        <v>1</v>
      </c>
      <c r="O197" s="101" t="s">
        <v>371</v>
      </c>
      <c r="P197" s="98">
        <v>901070</v>
      </c>
      <c r="Q197" s="98">
        <f t="shared" si="1"/>
        <v>2</v>
      </c>
    </row>
    <row r="198" spans="1:17" s="98" customFormat="1" ht="12">
      <c r="A198" s="102" t="s">
        <v>289</v>
      </c>
      <c r="B198" s="99" t="s">
        <v>1015</v>
      </c>
      <c r="C198" s="102">
        <v>603099</v>
      </c>
      <c r="D198" s="99">
        <v>1603099</v>
      </c>
      <c r="E198" s="102" t="s">
        <v>306</v>
      </c>
      <c r="F198" s="103" t="s">
        <v>803</v>
      </c>
      <c r="G198" s="102" t="s">
        <v>406</v>
      </c>
      <c r="H198" s="102"/>
      <c r="I198" s="102"/>
      <c r="J198" s="102"/>
      <c r="K198" s="103"/>
      <c r="L198" s="143">
        <v>9603099</v>
      </c>
      <c r="M198" s="101" t="s">
        <v>306</v>
      </c>
      <c r="N198" s="101" t="s">
        <v>371</v>
      </c>
      <c r="O198" s="101">
        <v>1</v>
      </c>
      <c r="P198" s="98">
        <v>603099</v>
      </c>
      <c r="Q198" s="98">
        <f t="shared" si="1"/>
        <v>1</v>
      </c>
    </row>
    <row r="199" spans="1:17" s="98" customFormat="1" ht="12">
      <c r="A199" s="102" t="s">
        <v>1058</v>
      </c>
      <c r="B199" s="99" t="s">
        <v>1015</v>
      </c>
      <c r="C199" s="102">
        <v>603105</v>
      </c>
      <c r="D199" s="99">
        <v>1603105</v>
      </c>
      <c r="E199" s="102" t="s">
        <v>804</v>
      </c>
      <c r="F199" s="103" t="s">
        <v>805</v>
      </c>
      <c r="G199" s="102" t="s">
        <v>453</v>
      </c>
      <c r="H199" s="102"/>
      <c r="I199" s="102"/>
      <c r="J199" s="102"/>
      <c r="K199" s="103"/>
      <c r="L199" s="143">
        <v>9603105</v>
      </c>
      <c r="M199" s="101" t="s">
        <v>358</v>
      </c>
      <c r="N199" s="101" t="s">
        <v>371</v>
      </c>
      <c r="O199" s="101">
        <v>1</v>
      </c>
      <c r="P199" s="98">
        <v>603105</v>
      </c>
      <c r="Q199" s="98">
        <f t="shared" si="1"/>
        <v>1</v>
      </c>
    </row>
    <row r="200" spans="1:17" s="98" customFormat="1" ht="12">
      <c r="A200" s="102" t="s">
        <v>289</v>
      </c>
      <c r="B200" s="99" t="s">
        <v>1015</v>
      </c>
      <c r="C200" s="102">
        <v>603107</v>
      </c>
      <c r="D200" s="99">
        <v>1603107</v>
      </c>
      <c r="E200" s="102" t="s">
        <v>806</v>
      </c>
      <c r="F200" s="103" t="s">
        <v>807</v>
      </c>
      <c r="G200" s="102" t="s">
        <v>453</v>
      </c>
      <c r="H200" s="102"/>
      <c r="I200" s="102"/>
      <c r="J200" s="102"/>
      <c r="K200" s="103"/>
      <c r="L200" s="143">
        <v>9603107</v>
      </c>
      <c r="M200" s="101" t="s">
        <v>359</v>
      </c>
      <c r="N200" s="101" t="s">
        <v>371</v>
      </c>
      <c r="O200" s="101">
        <v>1</v>
      </c>
      <c r="P200" s="98">
        <v>603107</v>
      </c>
      <c r="Q200" s="98">
        <f t="shared" si="1"/>
        <v>1</v>
      </c>
    </row>
    <row r="201" spans="1:17" s="98" customFormat="1" ht="12">
      <c r="A201" s="102" t="s">
        <v>289</v>
      </c>
      <c r="B201" s="99" t="s">
        <v>1015</v>
      </c>
      <c r="C201" s="102">
        <v>603108</v>
      </c>
      <c r="D201" s="99">
        <v>1603108</v>
      </c>
      <c r="E201" s="102" t="s">
        <v>808</v>
      </c>
      <c r="F201" s="103" t="s">
        <v>809</v>
      </c>
      <c r="G201" s="102" t="s">
        <v>453</v>
      </c>
      <c r="H201" s="102"/>
      <c r="I201" s="102"/>
      <c r="J201" s="102"/>
      <c r="K201" s="103"/>
      <c r="L201" s="143">
        <v>1301026</v>
      </c>
      <c r="M201" s="101" t="s">
        <v>160</v>
      </c>
      <c r="N201" s="101" t="s">
        <v>371</v>
      </c>
      <c r="O201" s="101">
        <v>1</v>
      </c>
      <c r="P201" s="98">
        <v>301026</v>
      </c>
      <c r="Q201" s="98">
        <f t="shared" si="1"/>
        <v>2</v>
      </c>
    </row>
    <row r="202" spans="1:17" s="98" customFormat="1" ht="12">
      <c r="A202" s="102" t="s">
        <v>289</v>
      </c>
      <c r="B202" s="99" t="s">
        <v>1015</v>
      </c>
      <c r="C202" s="102">
        <v>603109</v>
      </c>
      <c r="D202" s="99">
        <v>1603109</v>
      </c>
      <c r="E202" s="102" t="s">
        <v>810</v>
      </c>
      <c r="F202" s="103" t="s">
        <v>811</v>
      </c>
      <c r="G202" s="102" t="s">
        <v>415</v>
      </c>
      <c r="H202" s="102"/>
      <c r="I202" s="102"/>
      <c r="J202" s="102"/>
      <c r="K202" s="103"/>
      <c r="L202" s="143">
        <v>9603109</v>
      </c>
      <c r="M202" s="101" t="s">
        <v>360</v>
      </c>
      <c r="N202" s="101" t="s">
        <v>371</v>
      </c>
      <c r="O202" s="101">
        <v>1</v>
      </c>
      <c r="P202" s="98">
        <v>603109</v>
      </c>
      <c r="Q202" s="98">
        <f t="shared" si="1"/>
        <v>1</v>
      </c>
    </row>
    <row r="203" spans="1:17" s="98" customFormat="1" ht="12">
      <c r="A203" s="102" t="s">
        <v>289</v>
      </c>
      <c r="B203" s="99" t="s">
        <v>1015</v>
      </c>
      <c r="C203" s="102">
        <v>603110</v>
      </c>
      <c r="D203" s="99">
        <v>1603110</v>
      </c>
      <c r="E203" s="102" t="s">
        <v>812</v>
      </c>
      <c r="F203" s="103" t="s">
        <v>813</v>
      </c>
      <c r="G203" s="102" t="s">
        <v>406</v>
      </c>
      <c r="H203" s="102"/>
      <c r="I203" s="102"/>
      <c r="J203" s="102"/>
      <c r="K203" s="103"/>
      <c r="L203" s="143">
        <v>9603110</v>
      </c>
      <c r="M203" s="101" t="s">
        <v>814</v>
      </c>
      <c r="N203" s="101">
        <v>1</v>
      </c>
      <c r="O203" s="101" t="s">
        <v>371</v>
      </c>
      <c r="P203" s="98">
        <v>603110</v>
      </c>
      <c r="Q203" s="98">
        <f t="shared" si="1"/>
        <v>1</v>
      </c>
    </row>
    <row r="204" spans="1:17" s="98" customFormat="1" ht="12">
      <c r="A204" s="102" t="s">
        <v>307</v>
      </c>
      <c r="B204" s="99" t="s">
        <v>1016</v>
      </c>
      <c r="C204" s="107">
        <v>604990</v>
      </c>
      <c r="D204" s="99">
        <v>1604990</v>
      </c>
      <c r="E204" s="102" t="s">
        <v>1070</v>
      </c>
      <c r="F204" s="103" t="s">
        <v>815</v>
      </c>
      <c r="G204" s="102"/>
      <c r="H204" s="102"/>
      <c r="I204" s="102"/>
      <c r="J204" s="102"/>
      <c r="K204" s="103"/>
      <c r="L204" s="143">
        <v>1509014</v>
      </c>
      <c r="M204" s="101" t="s">
        <v>753</v>
      </c>
      <c r="N204" s="101" t="s">
        <v>371</v>
      </c>
      <c r="O204" s="101">
        <v>1</v>
      </c>
    </row>
    <row r="205" spans="1:17" s="98" customFormat="1" ht="12">
      <c r="A205" s="102" t="s">
        <v>309</v>
      </c>
      <c r="B205" s="99" t="s">
        <v>1017</v>
      </c>
      <c r="C205" s="102">
        <v>605004</v>
      </c>
      <c r="D205" s="99">
        <v>1605004</v>
      </c>
      <c r="E205" s="102" t="s">
        <v>255</v>
      </c>
      <c r="F205" s="103" t="s">
        <v>816</v>
      </c>
      <c r="G205" s="102" t="s">
        <v>441</v>
      </c>
      <c r="H205" s="102"/>
      <c r="I205" s="99">
        <v>3605004</v>
      </c>
      <c r="J205" s="102" t="s">
        <v>817</v>
      </c>
      <c r="K205" s="103" t="s">
        <v>816</v>
      </c>
      <c r="L205" s="143">
        <v>1605004</v>
      </c>
      <c r="M205" s="101" t="s">
        <v>255</v>
      </c>
      <c r="N205" s="101" t="s">
        <v>371</v>
      </c>
      <c r="O205" s="101">
        <v>1</v>
      </c>
    </row>
    <row r="206" spans="1:17" s="98" customFormat="1" ht="12">
      <c r="A206" s="102" t="s">
        <v>309</v>
      </c>
      <c r="B206" s="99" t="s">
        <v>1017</v>
      </c>
      <c r="C206" s="102">
        <v>605006</v>
      </c>
      <c r="D206" s="99">
        <v>1605006</v>
      </c>
      <c r="E206" s="102" t="s">
        <v>68</v>
      </c>
      <c r="F206" s="103" t="s">
        <v>818</v>
      </c>
      <c r="G206" s="102" t="s">
        <v>612</v>
      </c>
      <c r="H206" s="102"/>
      <c r="I206" s="99">
        <v>3605006</v>
      </c>
      <c r="J206" s="102" t="s">
        <v>819</v>
      </c>
      <c r="K206" s="103" t="s">
        <v>818</v>
      </c>
      <c r="L206" s="143">
        <v>1605006</v>
      </c>
      <c r="M206" s="101" t="s">
        <v>68</v>
      </c>
      <c r="N206" s="101">
        <v>1</v>
      </c>
      <c r="O206" s="101" t="s">
        <v>371</v>
      </c>
    </row>
    <row r="207" spans="1:17" s="98" customFormat="1" ht="12">
      <c r="A207" s="102" t="s">
        <v>309</v>
      </c>
      <c r="B207" s="99" t="s">
        <v>1017</v>
      </c>
      <c r="C207" s="107">
        <v>605990</v>
      </c>
      <c r="D207" s="99">
        <v>1605990</v>
      </c>
      <c r="E207" s="102" t="s">
        <v>313</v>
      </c>
      <c r="F207" s="103" t="s">
        <v>821</v>
      </c>
      <c r="G207" s="102" t="s">
        <v>406</v>
      </c>
      <c r="H207" s="102"/>
      <c r="I207" s="102"/>
      <c r="J207" s="102"/>
      <c r="K207" s="103"/>
      <c r="L207" s="143">
        <v>9605990</v>
      </c>
      <c r="M207" s="101" t="s">
        <v>313</v>
      </c>
      <c r="N207" s="101">
        <v>1</v>
      </c>
      <c r="O207" s="101" t="s">
        <v>371</v>
      </c>
      <c r="P207" s="98">
        <v>605990</v>
      </c>
      <c r="Q207" s="98">
        <f>IF(C207=P207,1,2)</f>
        <v>1</v>
      </c>
    </row>
    <row r="208" spans="1:17" s="98" customFormat="1" ht="12">
      <c r="A208" s="102" t="s">
        <v>1059</v>
      </c>
      <c r="B208" s="99" t="s">
        <v>1017</v>
      </c>
      <c r="C208" s="107">
        <v>605991</v>
      </c>
      <c r="D208" s="99">
        <v>1605991</v>
      </c>
      <c r="E208" s="102" t="s">
        <v>822</v>
      </c>
      <c r="F208" s="103" t="s">
        <v>823</v>
      </c>
      <c r="G208" s="102" t="s">
        <v>415</v>
      </c>
      <c r="H208" s="102"/>
      <c r="I208" s="102"/>
      <c r="J208" s="102"/>
      <c r="K208" s="103"/>
      <c r="L208" s="143">
        <v>9605991</v>
      </c>
      <c r="M208" s="101" t="s">
        <v>361</v>
      </c>
      <c r="N208" s="101" t="s">
        <v>371</v>
      </c>
      <c r="O208" s="101">
        <v>1</v>
      </c>
      <c r="P208" s="98">
        <v>605991</v>
      </c>
      <c r="Q208" s="98">
        <f>IF(C208=P208,1,2)</f>
        <v>1</v>
      </c>
    </row>
    <row r="209" spans="1:17" s="98" customFormat="1" ht="12">
      <c r="A209" s="102" t="s">
        <v>1059</v>
      </c>
      <c r="B209" s="99" t="s">
        <v>1017</v>
      </c>
      <c r="C209" s="107">
        <v>605992</v>
      </c>
      <c r="D209" s="99">
        <v>1605992</v>
      </c>
      <c r="E209" s="102" t="s">
        <v>824</v>
      </c>
      <c r="F209" s="103" t="s">
        <v>825</v>
      </c>
      <c r="G209" s="102" t="s">
        <v>415</v>
      </c>
      <c r="H209" s="102"/>
      <c r="I209" s="102"/>
      <c r="J209" s="102"/>
      <c r="K209" s="103"/>
      <c r="L209" s="143">
        <v>9605992</v>
      </c>
      <c r="M209" s="101" t="s">
        <v>362</v>
      </c>
      <c r="N209" s="101" t="s">
        <v>371</v>
      </c>
      <c r="O209" s="101">
        <v>1</v>
      </c>
      <c r="P209" s="98">
        <v>605992</v>
      </c>
      <c r="Q209" s="98">
        <f>IF(C209=P209,1,2)</f>
        <v>1</v>
      </c>
    </row>
    <row r="210" spans="1:17" s="98" customFormat="1" ht="12">
      <c r="A210" s="102" t="s">
        <v>314</v>
      </c>
      <c r="B210" s="99" t="s">
        <v>1018</v>
      </c>
      <c r="C210" s="102">
        <v>606002</v>
      </c>
      <c r="D210" s="99">
        <v>1606002</v>
      </c>
      <c r="E210" s="102" t="s">
        <v>826</v>
      </c>
      <c r="F210" s="103" t="s">
        <v>827</v>
      </c>
      <c r="G210" s="102" t="s">
        <v>398</v>
      </c>
      <c r="H210" s="102"/>
      <c r="I210" s="99">
        <v>3606002</v>
      </c>
      <c r="J210" s="102" t="s">
        <v>828</v>
      </c>
      <c r="K210" s="103" t="s">
        <v>827</v>
      </c>
      <c r="L210" s="143">
        <v>1606002</v>
      </c>
      <c r="M210" s="101" t="s">
        <v>256</v>
      </c>
      <c r="N210" s="101">
        <v>1</v>
      </c>
      <c r="O210" s="101" t="s">
        <v>371</v>
      </c>
    </row>
    <row r="211" spans="1:17" s="98" customFormat="1" ht="12">
      <c r="A211" s="102" t="s">
        <v>314</v>
      </c>
      <c r="B211" s="99" t="s">
        <v>1018</v>
      </c>
      <c r="C211" s="102">
        <v>606003</v>
      </c>
      <c r="D211" s="99">
        <v>1606003</v>
      </c>
      <c r="E211" s="102" t="s">
        <v>257</v>
      </c>
      <c r="F211" s="103" t="s">
        <v>829</v>
      </c>
      <c r="G211" s="102" t="s">
        <v>398</v>
      </c>
      <c r="H211" s="102"/>
      <c r="I211" s="102"/>
      <c r="J211" s="102"/>
      <c r="K211" s="103"/>
      <c r="L211" s="143">
        <v>1606003</v>
      </c>
      <c r="M211" s="101" t="s">
        <v>257</v>
      </c>
      <c r="N211" s="101">
        <v>1</v>
      </c>
      <c r="O211" s="101" t="s">
        <v>371</v>
      </c>
    </row>
    <row r="212" spans="1:17" s="98" customFormat="1" ht="12">
      <c r="A212" s="102" t="s">
        <v>314</v>
      </c>
      <c r="B212" s="99" t="s">
        <v>1018</v>
      </c>
      <c r="C212" s="102">
        <v>606007</v>
      </c>
      <c r="D212" s="99">
        <v>1606007</v>
      </c>
      <c r="E212" s="102" t="s">
        <v>1065</v>
      </c>
      <c r="F212" s="103" t="s">
        <v>830</v>
      </c>
      <c r="G212" s="102" t="s">
        <v>398</v>
      </c>
      <c r="H212" s="102"/>
      <c r="I212" s="102"/>
      <c r="J212" s="102"/>
      <c r="K212" s="103"/>
      <c r="L212" s="143">
        <v>1606007</v>
      </c>
      <c r="M212" s="101" t="s">
        <v>734</v>
      </c>
      <c r="N212" s="101" t="s">
        <v>371</v>
      </c>
      <c r="O212" s="101">
        <v>1</v>
      </c>
    </row>
    <row r="213" spans="1:17" s="98" customFormat="1" ht="12">
      <c r="A213" s="102" t="s">
        <v>314</v>
      </c>
      <c r="B213" s="99" t="s">
        <v>1018</v>
      </c>
      <c r="C213" s="102">
        <v>606009</v>
      </c>
      <c r="D213" s="99"/>
      <c r="E213" s="102"/>
      <c r="F213" s="103"/>
      <c r="G213" s="102"/>
      <c r="H213" s="102"/>
      <c r="I213" s="99">
        <v>3606009</v>
      </c>
      <c r="J213" s="102" t="s">
        <v>651</v>
      </c>
      <c r="K213" s="103" t="s">
        <v>831</v>
      </c>
      <c r="L213" s="145">
        <v>3606009</v>
      </c>
      <c r="M213" s="101" t="s">
        <v>651</v>
      </c>
      <c r="N213" s="101" t="s">
        <v>371</v>
      </c>
      <c r="O213" s="101">
        <v>1</v>
      </c>
    </row>
    <row r="214" spans="1:17" s="98" customFormat="1" ht="12">
      <c r="A214" s="102" t="s">
        <v>314</v>
      </c>
      <c r="B214" s="99" t="s">
        <v>1018</v>
      </c>
      <c r="C214" s="107">
        <v>606990</v>
      </c>
      <c r="D214" s="99">
        <v>1606990</v>
      </c>
      <c r="E214" s="102" t="s">
        <v>315</v>
      </c>
      <c r="F214" s="103" t="s">
        <v>832</v>
      </c>
      <c r="G214" s="102" t="s">
        <v>406</v>
      </c>
      <c r="H214" s="102"/>
      <c r="I214" s="102"/>
      <c r="J214" s="102"/>
      <c r="K214" s="103"/>
      <c r="L214" s="143">
        <v>9606990</v>
      </c>
      <c r="M214" s="101" t="s">
        <v>315</v>
      </c>
      <c r="N214" s="101" t="s">
        <v>371</v>
      </c>
      <c r="O214" s="101">
        <v>1</v>
      </c>
      <c r="P214" s="98">
        <v>606990</v>
      </c>
      <c r="Q214" s="98">
        <f>IF(C214=P214,1,2)</f>
        <v>1</v>
      </c>
    </row>
    <row r="215" spans="1:17" s="98" customFormat="1" ht="12">
      <c r="A215" s="102" t="s">
        <v>316</v>
      </c>
      <c r="B215" s="99" t="s">
        <v>1019</v>
      </c>
      <c r="C215" s="102">
        <v>701007</v>
      </c>
      <c r="D215" s="99">
        <v>1701007</v>
      </c>
      <c r="E215" s="102" t="s">
        <v>834</v>
      </c>
      <c r="F215" s="103" t="s">
        <v>835</v>
      </c>
      <c r="G215" s="102" t="s">
        <v>398</v>
      </c>
      <c r="H215" s="102"/>
      <c r="I215" s="99">
        <v>3701007</v>
      </c>
      <c r="J215" s="102" t="s">
        <v>836</v>
      </c>
      <c r="K215" s="103" t="s">
        <v>835</v>
      </c>
      <c r="L215" s="143">
        <v>1701007</v>
      </c>
      <c r="M215" s="101" t="s">
        <v>837</v>
      </c>
      <c r="N215" s="101" t="s">
        <v>371</v>
      </c>
      <c r="O215" s="101">
        <v>1</v>
      </c>
    </row>
    <row r="216" spans="1:17" s="98" customFormat="1" ht="12">
      <c r="A216" s="102" t="s">
        <v>317</v>
      </c>
      <c r="B216" s="99" t="s">
        <v>1020</v>
      </c>
      <c r="C216" s="102">
        <v>702008</v>
      </c>
      <c r="D216" s="99">
        <v>1702008</v>
      </c>
      <c r="E216" s="102" t="s">
        <v>258</v>
      </c>
      <c r="F216" s="103" t="s">
        <v>533</v>
      </c>
      <c r="G216" s="102" t="s">
        <v>395</v>
      </c>
      <c r="H216" s="102"/>
      <c r="I216" s="102"/>
      <c r="J216" s="102"/>
      <c r="K216" s="103"/>
      <c r="L216" s="143">
        <v>1702008</v>
      </c>
      <c r="M216" s="101" t="s">
        <v>258</v>
      </c>
      <c r="N216" s="101" t="s">
        <v>371</v>
      </c>
      <c r="O216" s="101">
        <v>1</v>
      </c>
    </row>
    <row r="217" spans="1:17" s="98" customFormat="1" ht="12">
      <c r="A217" s="102" t="s">
        <v>319</v>
      </c>
      <c r="B217" s="99" t="s">
        <v>1021</v>
      </c>
      <c r="C217" s="102">
        <v>703009</v>
      </c>
      <c r="D217" s="99">
        <v>1703009</v>
      </c>
      <c r="E217" s="102" t="s">
        <v>261</v>
      </c>
      <c r="F217" s="103" t="s">
        <v>839</v>
      </c>
      <c r="G217" s="102" t="s">
        <v>395</v>
      </c>
      <c r="H217" s="102"/>
      <c r="I217" s="99">
        <v>3703009</v>
      </c>
      <c r="J217" s="102" t="s">
        <v>840</v>
      </c>
      <c r="K217" s="103" t="s">
        <v>839</v>
      </c>
      <c r="L217" s="143">
        <v>1703009</v>
      </c>
      <c r="M217" s="101" t="s">
        <v>261</v>
      </c>
      <c r="N217" s="101">
        <v>1</v>
      </c>
      <c r="O217" s="101" t="s">
        <v>371</v>
      </c>
    </row>
    <row r="218" spans="1:17" s="98" customFormat="1" ht="12">
      <c r="A218" s="102" t="s">
        <v>319</v>
      </c>
      <c r="B218" s="99" t="s">
        <v>1021</v>
      </c>
      <c r="C218" s="102">
        <v>703015</v>
      </c>
      <c r="D218" s="99">
        <v>1703015</v>
      </c>
      <c r="E218" s="102" t="s">
        <v>262</v>
      </c>
      <c r="F218" s="103" t="s">
        <v>842</v>
      </c>
      <c r="G218" s="102" t="s">
        <v>398</v>
      </c>
      <c r="H218" s="102"/>
      <c r="I218" s="102"/>
      <c r="J218" s="102"/>
      <c r="K218" s="103"/>
      <c r="L218" s="143">
        <v>1703015</v>
      </c>
      <c r="M218" s="101" t="s">
        <v>262</v>
      </c>
      <c r="N218" s="101" t="s">
        <v>371</v>
      </c>
      <c r="O218" s="101">
        <v>1</v>
      </c>
    </row>
    <row r="219" spans="1:17" s="98" customFormat="1" ht="12">
      <c r="A219" s="102" t="s">
        <v>319</v>
      </c>
      <c r="B219" s="99" t="s">
        <v>1021</v>
      </c>
      <c r="C219" s="102">
        <v>703017</v>
      </c>
      <c r="D219" s="99">
        <v>1703017</v>
      </c>
      <c r="E219" s="102" t="s">
        <v>263</v>
      </c>
      <c r="F219" s="103" t="s">
        <v>843</v>
      </c>
      <c r="G219" s="102" t="s">
        <v>398</v>
      </c>
      <c r="H219" s="102"/>
      <c r="I219" s="102"/>
      <c r="J219" s="102"/>
      <c r="K219" s="103"/>
      <c r="L219" s="143">
        <v>1703017</v>
      </c>
      <c r="M219" s="101" t="s">
        <v>263</v>
      </c>
      <c r="N219" s="101">
        <v>1</v>
      </c>
      <c r="O219" s="101" t="s">
        <v>371</v>
      </c>
    </row>
    <row r="220" spans="1:17" s="98" customFormat="1" ht="12">
      <c r="A220" s="102" t="s">
        <v>319</v>
      </c>
      <c r="B220" s="99" t="s">
        <v>1021</v>
      </c>
      <c r="C220" s="102">
        <v>703026</v>
      </c>
      <c r="D220" s="99">
        <v>1703026</v>
      </c>
      <c r="E220" s="102" t="s">
        <v>844</v>
      </c>
      <c r="F220" s="103" t="s">
        <v>845</v>
      </c>
      <c r="G220" s="102" t="s">
        <v>415</v>
      </c>
      <c r="H220" s="102"/>
      <c r="I220" s="102"/>
      <c r="J220" s="102"/>
      <c r="K220" s="103"/>
      <c r="L220" s="143">
        <v>5703025</v>
      </c>
      <c r="M220" s="101" t="s">
        <v>264</v>
      </c>
      <c r="N220" s="101" t="s">
        <v>371</v>
      </c>
      <c r="O220" s="101">
        <v>1</v>
      </c>
      <c r="P220" s="98">
        <v>703025</v>
      </c>
      <c r="Q220" s="98">
        <f>IF(C220=P220,1,2)</f>
        <v>2</v>
      </c>
    </row>
    <row r="221" spans="1:17" s="98" customFormat="1" ht="12">
      <c r="A221" s="102" t="s">
        <v>1060</v>
      </c>
      <c r="B221" s="99" t="s">
        <v>1021</v>
      </c>
      <c r="C221" s="102">
        <v>703027</v>
      </c>
      <c r="D221" s="99">
        <v>1703027</v>
      </c>
      <c r="E221" s="102" t="s">
        <v>846</v>
      </c>
      <c r="F221" s="103" t="s">
        <v>847</v>
      </c>
      <c r="G221" s="102" t="s">
        <v>415</v>
      </c>
      <c r="H221" s="102"/>
      <c r="I221" s="102"/>
      <c r="J221" s="102"/>
      <c r="K221" s="103"/>
      <c r="L221" s="143">
        <v>9703027</v>
      </c>
      <c r="M221" s="101" t="s">
        <v>363</v>
      </c>
      <c r="N221" s="101">
        <v>1</v>
      </c>
      <c r="O221" s="101" t="s">
        <v>371</v>
      </c>
      <c r="P221" s="98">
        <v>703027</v>
      </c>
      <c r="Q221" s="98">
        <f>IF(C221=P221,1,2)</f>
        <v>1</v>
      </c>
    </row>
    <row r="222" spans="1:17" s="98" customFormat="1" ht="12">
      <c r="A222" s="102" t="s">
        <v>319</v>
      </c>
      <c r="B222" s="99" t="s">
        <v>1021</v>
      </c>
      <c r="C222" s="107">
        <v>703990</v>
      </c>
      <c r="D222" s="99"/>
      <c r="E222" s="102"/>
      <c r="F222" s="103"/>
      <c r="G222" s="102"/>
      <c r="H222" s="102"/>
      <c r="I222" s="99">
        <v>3703990</v>
      </c>
      <c r="J222" s="102" t="s">
        <v>848</v>
      </c>
      <c r="K222" s="103" t="s">
        <v>849</v>
      </c>
      <c r="L222" s="145">
        <v>3703990</v>
      </c>
      <c r="M222" s="101" t="s">
        <v>848</v>
      </c>
      <c r="N222" s="101" t="s">
        <v>371</v>
      </c>
      <c r="O222" s="101">
        <v>1</v>
      </c>
    </row>
    <row r="223" spans="1:17" s="98" customFormat="1" ht="12">
      <c r="A223" s="102" t="s">
        <v>319</v>
      </c>
      <c r="B223" s="99" t="s">
        <v>1021</v>
      </c>
      <c r="C223" s="107">
        <v>703991</v>
      </c>
      <c r="D223" s="99">
        <v>1703991</v>
      </c>
      <c r="E223" s="102" t="s">
        <v>850</v>
      </c>
      <c r="F223" s="103" t="s">
        <v>851</v>
      </c>
      <c r="G223" s="102" t="s">
        <v>415</v>
      </c>
      <c r="H223" s="102"/>
      <c r="I223" s="102"/>
      <c r="J223" s="102"/>
      <c r="K223" s="103"/>
      <c r="L223" s="143">
        <v>9703991</v>
      </c>
      <c r="M223" s="101" t="s">
        <v>364</v>
      </c>
      <c r="N223" s="101" t="s">
        <v>371</v>
      </c>
      <c r="O223" s="101">
        <v>1</v>
      </c>
      <c r="P223" s="98">
        <v>703991</v>
      </c>
      <c r="Q223" s="98">
        <f>IF(C223=P223,1,2)</f>
        <v>1</v>
      </c>
    </row>
    <row r="224" spans="1:17" s="98" customFormat="1" ht="12">
      <c r="A224" s="102" t="s">
        <v>321</v>
      </c>
      <c r="B224" s="99" t="s">
        <v>1022</v>
      </c>
      <c r="C224" s="102">
        <v>704005</v>
      </c>
      <c r="D224" s="99">
        <v>1704005</v>
      </c>
      <c r="E224" s="102" t="s">
        <v>322</v>
      </c>
      <c r="F224" s="103" t="s">
        <v>852</v>
      </c>
      <c r="G224" s="102" t="s">
        <v>395</v>
      </c>
      <c r="H224" s="102"/>
      <c r="I224" s="102"/>
      <c r="J224" s="102"/>
      <c r="K224" s="103"/>
      <c r="L224" s="143">
        <v>1704029</v>
      </c>
      <c r="M224" s="101" t="s">
        <v>269</v>
      </c>
      <c r="N224" s="101">
        <v>1</v>
      </c>
      <c r="O224" s="101" t="s">
        <v>371</v>
      </c>
    </row>
    <row r="225" spans="1:17" s="98" customFormat="1" ht="12">
      <c r="A225" s="102" t="s">
        <v>321</v>
      </c>
      <c r="B225" s="99" t="s">
        <v>1022</v>
      </c>
      <c r="C225" s="102">
        <v>704015</v>
      </c>
      <c r="D225" s="99">
        <v>1704015</v>
      </c>
      <c r="E225" s="102" t="s">
        <v>265</v>
      </c>
      <c r="F225" s="103" t="s">
        <v>853</v>
      </c>
      <c r="G225" s="102" t="s">
        <v>566</v>
      </c>
      <c r="H225" s="102" t="s">
        <v>567</v>
      </c>
      <c r="I225" s="102"/>
      <c r="J225" s="102"/>
      <c r="K225" s="103"/>
      <c r="L225" s="143">
        <v>1704015</v>
      </c>
      <c r="M225" s="101" t="s">
        <v>265</v>
      </c>
      <c r="N225" s="101" t="s">
        <v>371</v>
      </c>
      <c r="O225" s="101">
        <v>1</v>
      </c>
    </row>
    <row r="226" spans="1:17" s="98" customFormat="1" ht="12">
      <c r="A226" s="102" t="s">
        <v>321</v>
      </c>
      <c r="B226" s="99" t="s">
        <v>1022</v>
      </c>
      <c r="C226" s="102">
        <v>704024</v>
      </c>
      <c r="D226" s="99">
        <v>1704024</v>
      </c>
      <c r="E226" s="102" t="s">
        <v>266</v>
      </c>
      <c r="F226" s="103" t="s">
        <v>854</v>
      </c>
      <c r="G226" s="105" t="s">
        <v>395</v>
      </c>
      <c r="H226" s="102"/>
      <c r="I226" s="99">
        <v>3704024</v>
      </c>
      <c r="J226" s="102" t="s">
        <v>855</v>
      </c>
      <c r="K226" s="103" t="s">
        <v>854</v>
      </c>
      <c r="L226" s="143">
        <v>1704024</v>
      </c>
      <c r="M226" s="101" t="s">
        <v>266</v>
      </c>
      <c r="N226" s="101" t="s">
        <v>371</v>
      </c>
      <c r="O226" s="101">
        <v>1</v>
      </c>
    </row>
    <row r="227" spans="1:17" s="98" customFormat="1" ht="12">
      <c r="A227" s="102" t="s">
        <v>321</v>
      </c>
      <c r="B227" s="99" t="s">
        <v>1022</v>
      </c>
      <c r="C227" s="102">
        <v>704027</v>
      </c>
      <c r="D227" s="99">
        <v>1704027</v>
      </c>
      <c r="E227" s="102" t="s">
        <v>267</v>
      </c>
      <c r="F227" s="103" t="s">
        <v>856</v>
      </c>
      <c r="G227" s="102" t="s">
        <v>441</v>
      </c>
      <c r="H227" s="102"/>
      <c r="I227" s="99">
        <v>3704027</v>
      </c>
      <c r="J227" s="102" t="s">
        <v>857</v>
      </c>
      <c r="K227" s="103" t="s">
        <v>858</v>
      </c>
      <c r="L227" s="143">
        <v>1704027</v>
      </c>
      <c r="M227" s="101" t="s">
        <v>267</v>
      </c>
      <c r="N227" s="101">
        <v>1</v>
      </c>
      <c r="O227" s="101" t="s">
        <v>371</v>
      </c>
    </row>
    <row r="228" spans="1:17" s="98" customFormat="1" ht="12">
      <c r="A228" s="102" t="s">
        <v>321</v>
      </c>
      <c r="B228" s="99" t="s">
        <v>1022</v>
      </c>
      <c r="C228" s="102">
        <v>704028</v>
      </c>
      <c r="D228" s="99">
        <v>1704028</v>
      </c>
      <c r="E228" s="102" t="s">
        <v>268</v>
      </c>
      <c r="F228" s="103" t="s">
        <v>859</v>
      </c>
      <c r="G228" s="102" t="s">
        <v>441</v>
      </c>
      <c r="H228" s="102"/>
      <c r="I228" s="99">
        <v>3704028</v>
      </c>
      <c r="J228" s="102" t="s">
        <v>860</v>
      </c>
      <c r="K228" s="103" t="s">
        <v>859</v>
      </c>
      <c r="L228" s="143">
        <v>1704028</v>
      </c>
      <c r="M228" s="101" t="s">
        <v>268</v>
      </c>
      <c r="N228" s="101">
        <v>1</v>
      </c>
      <c r="O228" s="101" t="s">
        <v>371</v>
      </c>
    </row>
    <row r="229" spans="1:17" s="98" customFormat="1" ht="12">
      <c r="A229" s="133" t="s">
        <v>321</v>
      </c>
      <c r="B229" s="99" t="s">
        <v>1022</v>
      </c>
      <c r="C229" s="134">
        <v>704038</v>
      </c>
      <c r="D229" s="99">
        <v>1704038</v>
      </c>
      <c r="E229" s="135" t="s">
        <v>861</v>
      </c>
      <c r="F229" s="136" t="s">
        <v>862</v>
      </c>
      <c r="G229" s="133" t="s">
        <v>406</v>
      </c>
      <c r="H229" s="133"/>
      <c r="I229" s="133"/>
      <c r="J229" s="133"/>
      <c r="K229" s="136"/>
      <c r="L229" s="143">
        <v>9704038</v>
      </c>
      <c r="M229" s="101" t="s">
        <v>323</v>
      </c>
      <c r="N229" s="101" t="s">
        <v>371</v>
      </c>
      <c r="O229" s="101">
        <v>1</v>
      </c>
      <c r="P229" s="98">
        <v>704038</v>
      </c>
      <c r="Q229" s="98">
        <f>IF(C229=P229,1,2)</f>
        <v>1</v>
      </c>
    </row>
    <row r="230" spans="1:17" s="98" customFormat="1" ht="12">
      <c r="A230" s="133" t="s">
        <v>321</v>
      </c>
      <c r="B230" s="99" t="s">
        <v>1022</v>
      </c>
      <c r="C230" s="134">
        <v>704038</v>
      </c>
      <c r="D230" s="99">
        <v>1704038</v>
      </c>
      <c r="E230" s="137" t="s">
        <v>863</v>
      </c>
      <c r="F230" s="136" t="s">
        <v>864</v>
      </c>
      <c r="G230" s="133" t="s">
        <v>406</v>
      </c>
      <c r="H230" s="133"/>
      <c r="I230" s="133"/>
      <c r="J230" s="133"/>
      <c r="K230" s="136"/>
      <c r="L230" s="143">
        <v>9704038</v>
      </c>
      <c r="M230" s="101" t="s">
        <v>323</v>
      </c>
      <c r="N230" s="101" t="s">
        <v>371</v>
      </c>
      <c r="O230" s="101">
        <v>1</v>
      </c>
      <c r="P230" s="98">
        <v>704038</v>
      </c>
      <c r="Q230" s="98">
        <f>IF(C230=P230,1,2)</f>
        <v>1</v>
      </c>
    </row>
    <row r="231" spans="1:17" s="98" customFormat="1" ht="12">
      <c r="A231" s="102" t="s">
        <v>321</v>
      </c>
      <c r="B231" s="99" t="s">
        <v>1022</v>
      </c>
      <c r="C231" s="102">
        <v>704040</v>
      </c>
      <c r="D231" s="99">
        <v>1704040</v>
      </c>
      <c r="E231" s="102" t="s">
        <v>324</v>
      </c>
      <c r="F231" s="103" t="s">
        <v>865</v>
      </c>
      <c r="G231" s="102" t="s">
        <v>406</v>
      </c>
      <c r="H231" s="102"/>
      <c r="I231" s="102"/>
      <c r="J231" s="102"/>
      <c r="K231" s="103"/>
      <c r="L231" s="143">
        <v>9704040</v>
      </c>
      <c r="M231" s="101" t="s">
        <v>324</v>
      </c>
      <c r="N231" s="101" t="s">
        <v>371</v>
      </c>
      <c r="O231" s="101">
        <v>1</v>
      </c>
      <c r="P231" s="98">
        <v>704040</v>
      </c>
      <c r="Q231" s="98">
        <f>IF(C231=P231,1,2)</f>
        <v>1</v>
      </c>
    </row>
    <row r="232" spans="1:17" s="98" customFormat="1" ht="12">
      <c r="A232" s="102" t="s">
        <v>321</v>
      </c>
      <c r="B232" s="99" t="s">
        <v>1022</v>
      </c>
      <c r="C232" s="102">
        <v>704041</v>
      </c>
      <c r="D232" s="99">
        <v>1704041</v>
      </c>
      <c r="E232" s="102" t="s">
        <v>325</v>
      </c>
      <c r="F232" s="103" t="s">
        <v>865</v>
      </c>
      <c r="G232" s="102" t="s">
        <v>406</v>
      </c>
      <c r="H232" s="102"/>
      <c r="I232" s="102"/>
      <c r="J232" s="102"/>
      <c r="K232" s="103"/>
      <c r="L232" s="143">
        <v>1704040</v>
      </c>
      <c r="M232" s="101" t="s">
        <v>324</v>
      </c>
      <c r="N232" s="101" t="s">
        <v>371</v>
      </c>
      <c r="O232" s="101">
        <v>1</v>
      </c>
      <c r="P232" s="98">
        <v>704040</v>
      </c>
      <c r="Q232" s="98">
        <f>IF(C232=P232,1,2)</f>
        <v>2</v>
      </c>
    </row>
    <row r="233" spans="1:17" s="98" customFormat="1" ht="12">
      <c r="A233" s="102" t="s">
        <v>326</v>
      </c>
      <c r="B233" s="99" t="s">
        <v>1023</v>
      </c>
      <c r="C233" s="102">
        <v>705003</v>
      </c>
      <c r="D233" s="99">
        <v>1705003</v>
      </c>
      <c r="E233" s="102" t="s">
        <v>271</v>
      </c>
      <c r="F233" s="103" t="s">
        <v>866</v>
      </c>
      <c r="G233" s="102" t="s">
        <v>395</v>
      </c>
      <c r="H233" s="102"/>
      <c r="I233" s="102"/>
      <c r="J233" s="102"/>
      <c r="K233" s="103"/>
      <c r="L233" s="143">
        <v>1705003</v>
      </c>
      <c r="M233" s="101" t="s">
        <v>271</v>
      </c>
      <c r="N233" s="101" t="s">
        <v>371</v>
      </c>
      <c r="O233" s="101">
        <v>1</v>
      </c>
    </row>
    <row r="234" spans="1:17" s="98" customFormat="1" ht="12">
      <c r="A234" s="102" t="s">
        <v>326</v>
      </c>
      <c r="B234" s="99" t="s">
        <v>1023</v>
      </c>
      <c r="C234" s="102">
        <v>705005</v>
      </c>
      <c r="D234" s="99">
        <v>1705005</v>
      </c>
      <c r="E234" s="102" t="s">
        <v>272</v>
      </c>
      <c r="F234" s="103" t="s">
        <v>867</v>
      </c>
      <c r="G234" s="102" t="s">
        <v>395</v>
      </c>
      <c r="H234" s="102"/>
      <c r="I234" s="102"/>
      <c r="J234" s="102"/>
      <c r="K234" s="103"/>
      <c r="L234" s="143">
        <v>1705005</v>
      </c>
      <c r="M234" s="101" t="s">
        <v>272</v>
      </c>
      <c r="N234" s="101" t="s">
        <v>371</v>
      </c>
      <c r="O234" s="101">
        <v>1</v>
      </c>
    </row>
    <row r="235" spans="1:17" s="98" customFormat="1" ht="12">
      <c r="A235" s="102" t="s">
        <v>326</v>
      </c>
      <c r="B235" s="99" t="s">
        <v>1023</v>
      </c>
      <c r="C235" s="102">
        <v>705018</v>
      </c>
      <c r="D235" s="99">
        <v>1705018</v>
      </c>
      <c r="E235" s="102" t="s">
        <v>276</v>
      </c>
      <c r="F235" s="103" t="s">
        <v>870</v>
      </c>
      <c r="G235" s="102" t="s">
        <v>398</v>
      </c>
      <c r="H235" s="102"/>
      <c r="I235" s="102"/>
      <c r="J235" s="102"/>
      <c r="K235" s="103"/>
      <c r="L235" s="143">
        <v>1705018</v>
      </c>
      <c r="M235" s="101" t="s">
        <v>276</v>
      </c>
      <c r="N235" s="101" t="s">
        <v>371</v>
      </c>
      <c r="O235" s="101">
        <v>1</v>
      </c>
    </row>
    <row r="236" spans="1:17" s="98" customFormat="1" ht="12">
      <c r="A236" s="102" t="s">
        <v>326</v>
      </c>
      <c r="B236" s="99" t="s">
        <v>1023</v>
      </c>
      <c r="C236" s="102">
        <v>705020</v>
      </c>
      <c r="D236" s="99">
        <v>1705020</v>
      </c>
      <c r="E236" s="102" t="s">
        <v>327</v>
      </c>
      <c r="F236" s="103" t="s">
        <v>743</v>
      </c>
      <c r="G236" s="102" t="s">
        <v>395</v>
      </c>
      <c r="H236" s="102"/>
      <c r="I236" s="102"/>
      <c r="J236" s="102"/>
      <c r="K236" s="103"/>
      <c r="L236" s="143">
        <v>1705010</v>
      </c>
      <c r="M236" s="101" t="s">
        <v>274</v>
      </c>
      <c r="N236" s="101">
        <v>1</v>
      </c>
      <c r="O236" s="101" t="s">
        <v>371</v>
      </c>
    </row>
    <row r="237" spans="1:17" s="98" customFormat="1" ht="12">
      <c r="A237" s="102" t="s">
        <v>326</v>
      </c>
      <c r="B237" s="99" t="s">
        <v>1023</v>
      </c>
      <c r="C237" s="107">
        <v>705991</v>
      </c>
      <c r="D237" s="99">
        <v>1705991</v>
      </c>
      <c r="E237" s="102" t="s">
        <v>328</v>
      </c>
      <c r="F237" s="103" t="s">
        <v>791</v>
      </c>
      <c r="G237" s="102" t="s">
        <v>406</v>
      </c>
      <c r="H237" s="102"/>
      <c r="I237" s="102"/>
      <c r="J237" s="102"/>
      <c r="K237" s="103"/>
      <c r="L237" s="143">
        <v>9705991</v>
      </c>
      <c r="M237" s="101" t="s">
        <v>328</v>
      </c>
      <c r="N237" s="101" t="s">
        <v>371</v>
      </c>
      <c r="O237" s="101">
        <v>1</v>
      </c>
      <c r="P237" s="98">
        <v>705991</v>
      </c>
      <c r="Q237" s="98">
        <f>IF(C237=P237,1,2)</f>
        <v>1</v>
      </c>
    </row>
    <row r="238" spans="1:17" s="98" customFormat="1" ht="12">
      <c r="A238" s="102" t="s">
        <v>326</v>
      </c>
      <c r="B238" s="99" t="s">
        <v>1023</v>
      </c>
      <c r="C238" s="107">
        <v>705992</v>
      </c>
      <c r="D238" s="99">
        <v>1705992</v>
      </c>
      <c r="E238" s="102" t="s">
        <v>329</v>
      </c>
      <c r="F238" s="103" t="s">
        <v>790</v>
      </c>
      <c r="G238" s="102" t="s">
        <v>406</v>
      </c>
      <c r="H238" s="102"/>
      <c r="I238" s="102"/>
      <c r="J238" s="102"/>
      <c r="K238" s="103"/>
      <c r="L238" s="143">
        <v>9705992</v>
      </c>
      <c r="M238" s="101" t="s">
        <v>329</v>
      </c>
      <c r="N238" s="101" t="s">
        <v>371</v>
      </c>
      <c r="O238" s="101">
        <v>1</v>
      </c>
      <c r="P238" s="98">
        <v>705992</v>
      </c>
      <c r="Q238" s="98">
        <f>IF(C238=P238,1,2)</f>
        <v>1</v>
      </c>
    </row>
    <row r="239" spans="1:17" s="98" customFormat="1" ht="12">
      <c r="A239" s="102" t="s">
        <v>330</v>
      </c>
      <c r="B239" s="99" t="s">
        <v>1024</v>
      </c>
      <c r="C239" s="102">
        <v>802003</v>
      </c>
      <c r="D239" s="99">
        <v>1802003</v>
      </c>
      <c r="E239" s="102" t="s">
        <v>277</v>
      </c>
      <c r="F239" s="103" t="s">
        <v>871</v>
      </c>
      <c r="G239" s="102" t="s">
        <v>398</v>
      </c>
      <c r="H239" s="102"/>
      <c r="I239" s="102"/>
      <c r="J239" s="102"/>
      <c r="K239" s="103"/>
      <c r="L239" s="143">
        <v>1802003</v>
      </c>
      <c r="M239" s="101" t="s">
        <v>277</v>
      </c>
      <c r="N239" s="101" t="s">
        <v>371</v>
      </c>
      <c r="O239" s="101">
        <v>1</v>
      </c>
    </row>
    <row r="240" spans="1:17" s="98" customFormat="1" ht="12">
      <c r="A240" s="102" t="s">
        <v>330</v>
      </c>
      <c r="B240" s="99" t="s">
        <v>1024</v>
      </c>
      <c r="C240" s="107">
        <v>802990</v>
      </c>
      <c r="D240" s="99">
        <v>1802990</v>
      </c>
      <c r="E240" s="102" t="s">
        <v>874</v>
      </c>
      <c r="F240" s="103" t="s">
        <v>875</v>
      </c>
      <c r="G240" s="102" t="s">
        <v>406</v>
      </c>
      <c r="H240" s="102"/>
      <c r="I240" s="102"/>
      <c r="J240" s="102"/>
      <c r="K240" s="103"/>
      <c r="L240" s="143">
        <v>9802990</v>
      </c>
      <c r="M240" s="101" t="s">
        <v>365</v>
      </c>
      <c r="N240" s="101" t="s">
        <v>371</v>
      </c>
      <c r="O240" s="101">
        <v>1</v>
      </c>
      <c r="P240" s="98">
        <v>802990</v>
      </c>
      <c r="Q240" s="98">
        <f>IF(C240=P240,1,2)</f>
        <v>1</v>
      </c>
    </row>
    <row r="241" spans="1:17" s="98" customFormat="1" ht="12">
      <c r="A241" s="102" t="s">
        <v>330</v>
      </c>
      <c r="B241" s="99" t="s">
        <v>1024</v>
      </c>
      <c r="C241" s="107">
        <v>802991</v>
      </c>
      <c r="D241" s="99">
        <v>1802991</v>
      </c>
      <c r="E241" s="102" t="s">
        <v>876</v>
      </c>
      <c r="F241" s="103" t="s">
        <v>877</v>
      </c>
      <c r="G241" s="102" t="s">
        <v>415</v>
      </c>
      <c r="H241" s="102"/>
      <c r="I241" s="102"/>
      <c r="J241" s="102"/>
      <c r="K241" s="103"/>
      <c r="L241" s="143">
        <v>9802991</v>
      </c>
      <c r="M241" s="101" t="s">
        <v>366</v>
      </c>
      <c r="N241" s="101" t="s">
        <v>371</v>
      </c>
      <c r="O241" s="101">
        <v>1</v>
      </c>
      <c r="P241" s="98">
        <v>802991</v>
      </c>
      <c r="Q241" s="98">
        <f>IF(C241=P241,1,2)</f>
        <v>1</v>
      </c>
    </row>
    <row r="242" spans="1:17" s="98" customFormat="1" ht="12">
      <c r="A242" s="102" t="s">
        <v>330</v>
      </c>
      <c r="B242" s="99" t="s">
        <v>1024</v>
      </c>
      <c r="C242" s="107">
        <v>802993</v>
      </c>
      <c r="D242" s="99">
        <v>1802993</v>
      </c>
      <c r="E242" s="102" t="s">
        <v>878</v>
      </c>
      <c r="F242" s="103" t="s">
        <v>879</v>
      </c>
      <c r="G242" s="102" t="s">
        <v>415</v>
      </c>
      <c r="H242" s="102"/>
      <c r="I242" s="102"/>
      <c r="J242" s="102"/>
      <c r="K242" s="103"/>
      <c r="L242" s="143">
        <v>9802993</v>
      </c>
      <c r="M242" s="101" t="s">
        <v>367</v>
      </c>
      <c r="N242" s="101">
        <v>1</v>
      </c>
      <c r="O242" s="101" t="s">
        <v>371</v>
      </c>
      <c r="P242" s="98">
        <v>802993</v>
      </c>
      <c r="Q242" s="98">
        <f>IF(C242=P242,1,2)</f>
        <v>1</v>
      </c>
    </row>
    <row r="243" spans="1:17" s="98" customFormat="1" ht="12">
      <c r="A243" s="102" t="s">
        <v>331</v>
      </c>
      <c r="B243" s="99" t="s">
        <v>1025</v>
      </c>
      <c r="C243" s="102">
        <v>803008</v>
      </c>
      <c r="D243" s="99">
        <v>1803008</v>
      </c>
      <c r="E243" s="102" t="s">
        <v>282</v>
      </c>
      <c r="F243" s="103" t="s">
        <v>884</v>
      </c>
      <c r="G243" s="102" t="s">
        <v>395</v>
      </c>
      <c r="H243" s="102"/>
      <c r="I243" s="102"/>
      <c r="J243" s="102"/>
      <c r="K243" s="103"/>
      <c r="L243" s="143">
        <v>1803008</v>
      </c>
      <c r="M243" s="101" t="s">
        <v>282</v>
      </c>
      <c r="N243" s="101" t="s">
        <v>371</v>
      </c>
      <c r="O243" s="101">
        <v>1</v>
      </c>
    </row>
    <row r="244" spans="1:17" s="98" customFormat="1" ht="12">
      <c r="A244" s="102" t="s">
        <v>331</v>
      </c>
      <c r="B244" s="99" t="s">
        <v>1025</v>
      </c>
      <c r="C244" s="102">
        <v>803018</v>
      </c>
      <c r="D244" s="99">
        <v>1803018</v>
      </c>
      <c r="E244" s="102" t="s">
        <v>332</v>
      </c>
      <c r="F244" s="103" t="s">
        <v>885</v>
      </c>
      <c r="G244" s="102" t="s">
        <v>406</v>
      </c>
      <c r="H244" s="102"/>
      <c r="I244" s="102"/>
      <c r="J244" s="102"/>
      <c r="K244" s="103"/>
      <c r="L244" s="143">
        <v>1508043</v>
      </c>
      <c r="M244" s="101" t="s">
        <v>744</v>
      </c>
      <c r="N244" s="101">
        <v>1</v>
      </c>
      <c r="O244" s="101" t="s">
        <v>371</v>
      </c>
      <c r="P244" s="98">
        <v>508043</v>
      </c>
      <c r="Q244" s="98">
        <f>IF(C244=P244,1,2)</f>
        <v>2</v>
      </c>
    </row>
    <row r="245" spans="1:17" s="98" customFormat="1" ht="12">
      <c r="A245" s="102" t="s">
        <v>331</v>
      </c>
      <c r="B245" s="99" t="s">
        <v>1025</v>
      </c>
      <c r="C245" s="102">
        <v>803019</v>
      </c>
      <c r="D245" s="99">
        <v>1803019</v>
      </c>
      <c r="E245" s="102" t="s">
        <v>886</v>
      </c>
      <c r="F245" s="103" t="s">
        <v>887</v>
      </c>
      <c r="G245" s="102" t="s">
        <v>406</v>
      </c>
      <c r="H245" s="102"/>
      <c r="I245" s="102"/>
      <c r="J245" s="102"/>
      <c r="K245" s="103"/>
      <c r="L245" s="143">
        <v>1508043</v>
      </c>
      <c r="M245" s="101" t="s">
        <v>744</v>
      </c>
      <c r="N245" s="101">
        <v>1</v>
      </c>
      <c r="O245" s="101" t="s">
        <v>371</v>
      </c>
      <c r="P245" s="98">
        <v>508043</v>
      </c>
      <c r="Q245" s="98">
        <f>IF(C245=P245,1,2)</f>
        <v>2</v>
      </c>
    </row>
    <row r="246" spans="1:17" s="98" customFormat="1" ht="12">
      <c r="A246" s="102" t="s">
        <v>331</v>
      </c>
      <c r="B246" s="99" t="s">
        <v>1025</v>
      </c>
      <c r="C246" s="107">
        <v>803990</v>
      </c>
      <c r="D246" s="99">
        <v>1803990</v>
      </c>
      <c r="E246" s="102" t="s">
        <v>333</v>
      </c>
      <c r="F246" s="103" t="s">
        <v>498</v>
      </c>
      <c r="G246" s="102" t="s">
        <v>406</v>
      </c>
      <c r="H246" s="102"/>
      <c r="I246" s="102"/>
      <c r="J246" s="102"/>
      <c r="K246" s="103"/>
      <c r="L246" s="143">
        <v>9803990</v>
      </c>
      <c r="M246" s="101" t="s">
        <v>333</v>
      </c>
      <c r="N246" s="101" t="s">
        <v>371</v>
      </c>
      <c r="O246" s="101">
        <v>1</v>
      </c>
      <c r="P246" s="98">
        <v>803990</v>
      </c>
      <c r="Q246" s="98">
        <f>IF(C246=P246,1,2)</f>
        <v>1</v>
      </c>
    </row>
    <row r="247" spans="1:17" s="98" customFormat="1" ht="12">
      <c r="A247" s="102" t="s">
        <v>334</v>
      </c>
      <c r="B247" s="99" t="s">
        <v>1026</v>
      </c>
      <c r="C247" s="102">
        <v>804009</v>
      </c>
      <c r="D247" s="99">
        <v>7804009</v>
      </c>
      <c r="E247" s="102" t="s">
        <v>64</v>
      </c>
      <c r="F247" s="103" t="s">
        <v>889</v>
      </c>
      <c r="G247" s="102" t="s">
        <v>610</v>
      </c>
      <c r="H247" s="102"/>
      <c r="I247" s="102"/>
      <c r="J247" s="102"/>
      <c r="K247" s="103"/>
      <c r="L247" s="143">
        <v>7804009</v>
      </c>
      <c r="M247" s="101" t="s">
        <v>64</v>
      </c>
      <c r="N247" s="101" t="s">
        <v>371</v>
      </c>
      <c r="O247" s="101">
        <v>1</v>
      </c>
      <c r="Q247" s="98">
        <f>IF(C247=P247,1,2)</f>
        <v>2</v>
      </c>
    </row>
    <row r="248" spans="1:17" s="98" customFormat="1" ht="12">
      <c r="A248" s="102" t="s">
        <v>334</v>
      </c>
      <c r="B248" s="99" t="s">
        <v>1026</v>
      </c>
      <c r="C248" s="107">
        <v>804991</v>
      </c>
      <c r="D248" s="99">
        <v>1804991</v>
      </c>
      <c r="E248" s="102" t="s">
        <v>1086</v>
      </c>
      <c r="F248" s="103" t="s">
        <v>890</v>
      </c>
      <c r="G248" s="102"/>
      <c r="H248" s="102"/>
      <c r="I248" s="99">
        <v>3804991</v>
      </c>
      <c r="J248" s="102" t="s">
        <v>891</v>
      </c>
      <c r="K248" s="103" t="s">
        <v>892</v>
      </c>
      <c r="L248" s="143">
        <v>1804991</v>
      </c>
      <c r="M248" s="101" t="s">
        <v>524</v>
      </c>
      <c r="N248" s="101" t="s">
        <v>371</v>
      </c>
      <c r="O248" s="101">
        <v>1</v>
      </c>
    </row>
    <row r="249" spans="1:17" s="98" customFormat="1" ht="12">
      <c r="A249" s="102" t="s">
        <v>335</v>
      </c>
      <c r="B249" s="99" t="s">
        <v>1027</v>
      </c>
      <c r="C249" s="102">
        <v>901038</v>
      </c>
      <c r="D249" s="99">
        <v>1901038</v>
      </c>
      <c r="E249" s="102" t="s">
        <v>898</v>
      </c>
      <c r="F249" s="103" t="s">
        <v>899</v>
      </c>
      <c r="G249" s="105" t="s">
        <v>395</v>
      </c>
      <c r="H249" s="102"/>
      <c r="I249" s="99">
        <v>3901038</v>
      </c>
      <c r="J249" s="102" t="s">
        <v>900</v>
      </c>
      <c r="K249" s="103" t="s">
        <v>899</v>
      </c>
      <c r="L249" s="143">
        <v>1901038</v>
      </c>
      <c r="M249" s="101" t="s">
        <v>901</v>
      </c>
      <c r="N249" s="101">
        <v>1</v>
      </c>
      <c r="O249" s="101" t="s">
        <v>371</v>
      </c>
    </row>
    <row r="250" spans="1:17" s="98" customFormat="1" ht="12">
      <c r="A250" s="102" t="s">
        <v>335</v>
      </c>
      <c r="B250" s="99" t="s">
        <v>1027</v>
      </c>
      <c r="C250" s="102">
        <v>901044</v>
      </c>
      <c r="D250" s="99"/>
      <c r="E250" s="102"/>
      <c r="F250" s="103"/>
      <c r="G250" s="102"/>
      <c r="H250" s="102"/>
      <c r="I250" s="99">
        <v>3901044</v>
      </c>
      <c r="J250" s="102" t="s">
        <v>903</v>
      </c>
      <c r="K250" s="103" t="s">
        <v>904</v>
      </c>
      <c r="L250" s="145">
        <v>3901044</v>
      </c>
      <c r="M250" s="101" t="s">
        <v>903</v>
      </c>
      <c r="N250" s="101" t="s">
        <v>371</v>
      </c>
      <c r="O250" s="101">
        <v>1</v>
      </c>
    </row>
    <row r="251" spans="1:17" s="98" customFormat="1" ht="12">
      <c r="A251" s="102" t="s">
        <v>335</v>
      </c>
      <c r="B251" s="99" t="s">
        <v>1027</v>
      </c>
      <c r="C251" s="102">
        <v>901051</v>
      </c>
      <c r="D251" s="99">
        <v>1901051</v>
      </c>
      <c r="E251" s="102" t="s">
        <v>290</v>
      </c>
      <c r="F251" s="103" t="s">
        <v>908</v>
      </c>
      <c r="G251" s="105" t="s">
        <v>395</v>
      </c>
      <c r="H251" s="102"/>
      <c r="I251" s="102"/>
      <c r="J251" s="102"/>
      <c r="K251" s="103"/>
      <c r="L251" s="143">
        <v>1901051</v>
      </c>
      <c r="M251" s="101" t="s">
        <v>290</v>
      </c>
      <c r="N251" s="101" t="s">
        <v>371</v>
      </c>
      <c r="O251" s="101">
        <v>1</v>
      </c>
    </row>
    <row r="252" spans="1:17" s="98" customFormat="1" ht="12">
      <c r="A252" s="102" t="s">
        <v>335</v>
      </c>
      <c r="B252" s="99" t="s">
        <v>1027</v>
      </c>
      <c r="C252" s="102">
        <v>901056</v>
      </c>
      <c r="D252" s="99">
        <v>1901056</v>
      </c>
      <c r="E252" s="102" t="s">
        <v>291</v>
      </c>
      <c r="F252" s="103" t="s">
        <v>909</v>
      </c>
      <c r="G252" s="102" t="s">
        <v>441</v>
      </c>
      <c r="H252" s="102"/>
      <c r="I252" s="102"/>
      <c r="J252" s="102"/>
      <c r="K252" s="103"/>
      <c r="L252" s="143">
        <v>1901056</v>
      </c>
      <c r="M252" s="101" t="s">
        <v>291</v>
      </c>
      <c r="N252" s="101" t="s">
        <v>371</v>
      </c>
      <c r="O252" s="101">
        <v>1</v>
      </c>
    </row>
    <row r="253" spans="1:17" s="98" customFormat="1" ht="12">
      <c r="A253" s="102" t="s">
        <v>335</v>
      </c>
      <c r="B253" s="99" t="s">
        <v>1027</v>
      </c>
      <c r="C253" s="102">
        <v>901062</v>
      </c>
      <c r="D253" s="99">
        <v>1901062</v>
      </c>
      <c r="E253" s="102" t="s">
        <v>336</v>
      </c>
      <c r="F253" s="103" t="s">
        <v>911</v>
      </c>
      <c r="G253" s="102" t="s">
        <v>398</v>
      </c>
      <c r="H253" s="102"/>
      <c r="I253" s="102"/>
      <c r="J253" s="102"/>
      <c r="K253" s="103"/>
      <c r="L253" s="143">
        <v>1901013</v>
      </c>
      <c r="M253" s="101" t="s">
        <v>286</v>
      </c>
      <c r="N253" s="101">
        <v>1</v>
      </c>
      <c r="O253" s="101" t="s">
        <v>371</v>
      </c>
    </row>
    <row r="254" spans="1:17" s="98" customFormat="1" ht="12">
      <c r="A254" s="102" t="s">
        <v>335</v>
      </c>
      <c r="B254" s="99" t="s">
        <v>1027</v>
      </c>
      <c r="C254" s="102">
        <v>901065</v>
      </c>
      <c r="D254" s="99"/>
      <c r="E254" s="102"/>
      <c r="F254" s="103"/>
      <c r="G254" s="102"/>
      <c r="H254" s="102"/>
      <c r="I254" s="99">
        <v>3901065</v>
      </c>
      <c r="J254" s="102" t="s">
        <v>912</v>
      </c>
      <c r="K254" s="103" t="s">
        <v>913</v>
      </c>
      <c r="L254" s="143">
        <v>1901027</v>
      </c>
      <c r="M254" s="101" t="s">
        <v>88</v>
      </c>
      <c r="N254" s="101" t="s">
        <v>371</v>
      </c>
      <c r="O254" s="101">
        <v>1</v>
      </c>
    </row>
    <row r="255" spans="1:17" s="98" customFormat="1" ht="12">
      <c r="A255" s="102" t="s">
        <v>1061</v>
      </c>
      <c r="B255" s="99" t="s">
        <v>1027</v>
      </c>
      <c r="C255" s="107">
        <v>901990</v>
      </c>
      <c r="D255" s="99">
        <v>1901990</v>
      </c>
      <c r="E255" s="102" t="s">
        <v>914</v>
      </c>
      <c r="F255" s="103" t="s">
        <v>915</v>
      </c>
      <c r="G255" s="102" t="s">
        <v>415</v>
      </c>
      <c r="H255" s="102"/>
      <c r="I255" s="102"/>
      <c r="J255" s="102"/>
      <c r="K255" s="103"/>
      <c r="L255" s="143">
        <v>1301026</v>
      </c>
      <c r="M255" s="101" t="s">
        <v>160</v>
      </c>
      <c r="N255" s="101" t="s">
        <v>371</v>
      </c>
      <c r="O255" s="101">
        <v>1</v>
      </c>
      <c r="P255" s="98">
        <v>301026</v>
      </c>
      <c r="Q255" s="98">
        <f>IF(C255=P255,1,2)</f>
        <v>2</v>
      </c>
    </row>
    <row r="256" spans="1:17" s="98" customFormat="1" ht="12">
      <c r="A256" s="102" t="s">
        <v>335</v>
      </c>
      <c r="B256" s="99" t="s">
        <v>1027</v>
      </c>
      <c r="C256" s="107">
        <v>901991</v>
      </c>
      <c r="D256" s="99"/>
      <c r="E256" s="102"/>
      <c r="F256" s="103"/>
      <c r="G256" s="102"/>
      <c r="H256" s="102"/>
      <c r="I256" s="99">
        <v>3901991</v>
      </c>
      <c r="J256" s="102" t="s">
        <v>916</v>
      </c>
      <c r="K256" s="103" t="s">
        <v>917</v>
      </c>
      <c r="L256" s="145">
        <v>3606009</v>
      </c>
      <c r="M256" s="101" t="s">
        <v>651</v>
      </c>
      <c r="N256" s="101" t="s">
        <v>371</v>
      </c>
      <c r="O256" s="101">
        <v>1</v>
      </c>
    </row>
    <row r="257" spans="1:17" s="98" customFormat="1" ht="12">
      <c r="A257" s="102" t="s">
        <v>335</v>
      </c>
      <c r="B257" s="99" t="s">
        <v>1027</v>
      </c>
      <c r="C257" s="107">
        <v>901992</v>
      </c>
      <c r="D257" s="99">
        <v>1901992</v>
      </c>
      <c r="E257" s="102" t="s">
        <v>918</v>
      </c>
      <c r="F257" s="103" t="s">
        <v>919</v>
      </c>
      <c r="G257" s="102" t="s">
        <v>406</v>
      </c>
      <c r="H257" s="102"/>
      <c r="I257" s="102"/>
      <c r="J257" s="102"/>
      <c r="K257" s="103"/>
      <c r="L257" s="143">
        <v>1100059</v>
      </c>
      <c r="M257" s="101" t="s">
        <v>345</v>
      </c>
      <c r="N257" s="101" t="s">
        <v>371</v>
      </c>
      <c r="O257" s="101">
        <v>1</v>
      </c>
      <c r="P257" s="98">
        <v>100059</v>
      </c>
      <c r="Q257" s="98">
        <f>IF(C257=P257,1,2)</f>
        <v>2</v>
      </c>
    </row>
    <row r="258" spans="1:17" s="98" customFormat="1" ht="12">
      <c r="A258" s="102" t="s">
        <v>337</v>
      </c>
      <c r="B258" s="99" t="s">
        <v>1028</v>
      </c>
      <c r="C258" s="102">
        <v>902006</v>
      </c>
      <c r="D258" s="99">
        <v>1902006</v>
      </c>
      <c r="E258" s="102" t="s">
        <v>292</v>
      </c>
      <c r="F258" s="103" t="s">
        <v>921</v>
      </c>
      <c r="G258" s="102" t="s">
        <v>398</v>
      </c>
      <c r="H258" s="102"/>
      <c r="I258" s="102"/>
      <c r="J258" s="102"/>
      <c r="K258" s="103"/>
      <c r="L258" s="143">
        <v>1902006</v>
      </c>
      <c r="M258" s="101" t="s">
        <v>292</v>
      </c>
      <c r="N258" s="101" t="s">
        <v>371</v>
      </c>
      <c r="O258" s="101">
        <v>1</v>
      </c>
    </row>
    <row r="259" spans="1:17" s="98" customFormat="1" ht="12">
      <c r="A259" s="102" t="s">
        <v>338</v>
      </c>
      <c r="B259" s="99" t="s">
        <v>1029</v>
      </c>
      <c r="C259" s="102">
        <v>903012</v>
      </c>
      <c r="D259" s="99">
        <v>1903012</v>
      </c>
      <c r="E259" s="102" t="s">
        <v>294</v>
      </c>
      <c r="F259" s="103" t="s">
        <v>923</v>
      </c>
      <c r="G259" s="102" t="s">
        <v>395</v>
      </c>
      <c r="H259" s="102"/>
      <c r="I259" s="99">
        <v>3903012</v>
      </c>
      <c r="J259" s="102" t="s">
        <v>924</v>
      </c>
      <c r="K259" s="103" t="s">
        <v>923</v>
      </c>
      <c r="L259" s="143">
        <v>1903012</v>
      </c>
      <c r="M259" s="101" t="s">
        <v>294</v>
      </c>
      <c r="N259" s="101" t="s">
        <v>371</v>
      </c>
      <c r="O259" s="101">
        <v>1</v>
      </c>
    </row>
    <row r="260" spans="1:17" s="98" customFormat="1" ht="12">
      <c r="A260" s="102" t="s">
        <v>338</v>
      </c>
      <c r="B260" s="99" t="s">
        <v>1029</v>
      </c>
      <c r="C260" s="102">
        <v>903024</v>
      </c>
      <c r="D260" s="99"/>
      <c r="E260" s="102"/>
      <c r="F260" s="103"/>
      <c r="G260" s="102"/>
      <c r="H260" s="102"/>
      <c r="I260" s="99">
        <v>3903024</v>
      </c>
      <c r="J260" s="102" t="s">
        <v>928</v>
      </c>
      <c r="K260" s="103" t="s">
        <v>929</v>
      </c>
      <c r="L260" s="143">
        <v>1903023</v>
      </c>
      <c r="M260" s="101" t="s">
        <v>295</v>
      </c>
      <c r="N260" s="101" t="s">
        <v>371</v>
      </c>
      <c r="O260" s="101">
        <v>1</v>
      </c>
    </row>
    <row r="261" spans="1:17" s="98" customFormat="1" ht="12">
      <c r="A261" s="102" t="s">
        <v>338</v>
      </c>
      <c r="B261" s="99" t="s">
        <v>1029</v>
      </c>
      <c r="C261" s="107">
        <v>903990</v>
      </c>
      <c r="D261" s="99"/>
      <c r="E261" s="102"/>
      <c r="F261" s="103"/>
      <c r="G261" s="102"/>
      <c r="H261" s="102"/>
      <c r="I261" s="99">
        <v>3903990</v>
      </c>
      <c r="J261" s="102" t="s">
        <v>930</v>
      </c>
      <c r="K261" s="103" t="s">
        <v>931</v>
      </c>
      <c r="L261" s="145">
        <v>3606009</v>
      </c>
      <c r="M261" s="101" t="s">
        <v>651</v>
      </c>
      <c r="N261" s="101" t="s">
        <v>371</v>
      </c>
      <c r="O261" s="101">
        <v>1</v>
      </c>
    </row>
    <row r="262" spans="1:17" s="98" customFormat="1" ht="12">
      <c r="A262" s="102" t="s">
        <v>338</v>
      </c>
      <c r="B262" s="99" t="s">
        <v>1029</v>
      </c>
      <c r="C262" s="107">
        <v>903991</v>
      </c>
      <c r="D262" s="99">
        <v>1903991</v>
      </c>
      <c r="E262" s="102" t="s">
        <v>932</v>
      </c>
      <c r="F262" s="103" t="s">
        <v>933</v>
      </c>
      <c r="G262" s="102" t="s">
        <v>453</v>
      </c>
      <c r="H262" s="102"/>
      <c r="I262" s="102"/>
      <c r="J262" s="102"/>
      <c r="K262" s="103"/>
      <c r="L262" s="143">
        <v>9903991</v>
      </c>
      <c r="M262" s="101" t="s">
        <v>308</v>
      </c>
      <c r="N262" s="101" t="s">
        <v>371</v>
      </c>
      <c r="O262" s="101">
        <v>1</v>
      </c>
      <c r="P262" s="98">
        <v>903991</v>
      </c>
      <c r="Q262" s="98">
        <f>IF(C262=P262,1,2)</f>
        <v>1</v>
      </c>
    </row>
    <row r="263" spans="1:17" s="98" customFormat="1" ht="12">
      <c r="A263" s="102" t="s">
        <v>338</v>
      </c>
      <c r="B263" s="99" t="s">
        <v>1029</v>
      </c>
      <c r="C263" s="107">
        <v>903992</v>
      </c>
      <c r="D263" s="99"/>
      <c r="E263" s="102"/>
      <c r="F263" s="103"/>
      <c r="G263" s="102"/>
      <c r="H263" s="102"/>
      <c r="I263" s="99">
        <v>3903992</v>
      </c>
      <c r="J263" s="102" t="s">
        <v>934</v>
      </c>
      <c r="K263" s="103" t="s">
        <v>935</v>
      </c>
      <c r="L263" s="145">
        <v>3903992</v>
      </c>
      <c r="M263" s="101" t="s">
        <v>936</v>
      </c>
      <c r="N263" s="101" t="s">
        <v>371</v>
      </c>
      <c r="O263" s="101">
        <v>1</v>
      </c>
    </row>
    <row r="264" spans="1:17" s="98" customFormat="1" ht="12">
      <c r="A264" s="102" t="s">
        <v>339</v>
      </c>
      <c r="B264" s="99" t="s">
        <v>1030</v>
      </c>
      <c r="C264" s="107">
        <v>904990</v>
      </c>
      <c r="D264" s="99">
        <v>1904990</v>
      </c>
      <c r="E264" s="102" t="s">
        <v>310</v>
      </c>
      <c r="F264" s="103" t="s">
        <v>940</v>
      </c>
      <c r="G264" s="102" t="s">
        <v>406</v>
      </c>
      <c r="H264" s="102"/>
      <c r="I264" s="102"/>
      <c r="J264" s="102"/>
      <c r="K264" s="103"/>
      <c r="L264" s="143">
        <v>9904990</v>
      </c>
      <c r="M264" s="101" t="s">
        <v>310</v>
      </c>
      <c r="N264" s="101" t="s">
        <v>371</v>
      </c>
      <c r="O264" s="101">
        <v>1</v>
      </c>
      <c r="P264" s="98">
        <v>904990</v>
      </c>
      <c r="Q264" s="98">
        <f>IF(C264=P264,1,2)</f>
        <v>1</v>
      </c>
    </row>
    <row r="265" spans="1:17" s="98" customFormat="1" ht="12">
      <c r="A265" s="102" t="s">
        <v>1062</v>
      </c>
      <c r="B265" s="99" t="s">
        <v>1030</v>
      </c>
      <c r="C265" s="107">
        <v>904991</v>
      </c>
      <c r="D265" s="99">
        <v>1904991</v>
      </c>
      <c r="E265" s="102" t="s">
        <v>941</v>
      </c>
      <c r="F265" s="103" t="s">
        <v>942</v>
      </c>
      <c r="G265" s="102" t="s">
        <v>415</v>
      </c>
      <c r="H265" s="102"/>
      <c r="I265" s="102"/>
      <c r="J265" s="102"/>
      <c r="K265" s="103"/>
      <c r="L265" s="143">
        <v>9904991</v>
      </c>
      <c r="M265" s="101" t="s">
        <v>311</v>
      </c>
      <c r="N265" s="101" t="s">
        <v>371</v>
      </c>
      <c r="O265" s="101">
        <v>1</v>
      </c>
      <c r="P265" s="98">
        <v>904991</v>
      </c>
      <c r="Q265" s="98">
        <f>IF(C265=P265,1,2)</f>
        <v>1</v>
      </c>
    </row>
    <row r="266" spans="1:17" s="98" customFormat="1" ht="12">
      <c r="A266" s="102" t="s">
        <v>340</v>
      </c>
      <c r="B266" s="99" t="s">
        <v>1031</v>
      </c>
      <c r="C266" s="102">
        <v>905002</v>
      </c>
      <c r="D266" s="99">
        <v>1905002</v>
      </c>
      <c r="E266" s="102" t="s">
        <v>100</v>
      </c>
      <c r="F266" s="103" t="s">
        <v>943</v>
      </c>
      <c r="G266" s="102" t="s">
        <v>395</v>
      </c>
      <c r="H266" s="102" t="s">
        <v>406</v>
      </c>
      <c r="I266" s="99">
        <v>3905002</v>
      </c>
      <c r="J266" s="102" t="s">
        <v>944</v>
      </c>
      <c r="K266" s="103" t="s">
        <v>926</v>
      </c>
      <c r="L266" s="143">
        <v>1905002</v>
      </c>
      <c r="M266" s="101" t="s">
        <v>100</v>
      </c>
      <c r="N266" s="101">
        <v>1</v>
      </c>
      <c r="O266" s="101" t="s">
        <v>371</v>
      </c>
    </row>
    <row r="267" spans="1:17" s="98" customFormat="1" ht="12">
      <c r="A267" s="102" t="s">
        <v>340</v>
      </c>
      <c r="B267" s="99" t="s">
        <v>1031</v>
      </c>
      <c r="C267" s="102">
        <v>905010</v>
      </c>
      <c r="D267" s="99">
        <v>1905010</v>
      </c>
      <c r="E267" s="102" t="s">
        <v>297</v>
      </c>
      <c r="F267" s="103" t="s">
        <v>948</v>
      </c>
      <c r="G267" s="102" t="s">
        <v>395</v>
      </c>
      <c r="H267" s="102"/>
      <c r="I267" s="102"/>
      <c r="J267" s="102"/>
      <c r="K267" s="103"/>
      <c r="L267" s="143">
        <v>1905010</v>
      </c>
      <c r="M267" s="101" t="s">
        <v>297</v>
      </c>
      <c r="N267" s="101" t="s">
        <v>371</v>
      </c>
      <c r="O267" s="101">
        <v>1</v>
      </c>
    </row>
    <row r="268" spans="1:17" s="98" customFormat="1" ht="12">
      <c r="A268" s="102" t="s">
        <v>340</v>
      </c>
      <c r="B268" s="99" t="s">
        <v>1031</v>
      </c>
      <c r="C268" s="102">
        <v>905012</v>
      </c>
      <c r="D268" s="99">
        <v>1905012</v>
      </c>
      <c r="E268" s="102" t="s">
        <v>65</v>
      </c>
      <c r="F268" s="103" t="s">
        <v>638</v>
      </c>
      <c r="G268" s="102" t="s">
        <v>395</v>
      </c>
      <c r="H268" s="102"/>
      <c r="I268" s="99">
        <v>3905012</v>
      </c>
      <c r="J268" s="102" t="s">
        <v>949</v>
      </c>
      <c r="K268" s="103" t="s">
        <v>638</v>
      </c>
      <c r="L268" s="143">
        <v>1905012</v>
      </c>
      <c r="M268" s="101" t="s">
        <v>65</v>
      </c>
      <c r="N268" s="101">
        <v>1</v>
      </c>
      <c r="O268" s="101" t="s">
        <v>371</v>
      </c>
    </row>
    <row r="269" spans="1:17" s="98" customFormat="1" ht="12">
      <c r="A269" s="102" t="s">
        <v>340</v>
      </c>
      <c r="B269" s="99" t="s">
        <v>1031</v>
      </c>
      <c r="C269" s="102">
        <v>905015</v>
      </c>
      <c r="D269" s="99">
        <v>1905015</v>
      </c>
      <c r="E269" s="102" t="s">
        <v>951</v>
      </c>
      <c r="F269" s="103" t="s">
        <v>952</v>
      </c>
      <c r="G269" s="105" t="s">
        <v>395</v>
      </c>
      <c r="H269" s="102"/>
      <c r="I269" s="102"/>
      <c r="J269" s="102"/>
      <c r="K269" s="103"/>
      <c r="L269" s="143">
        <v>1905015</v>
      </c>
      <c r="M269" s="101" t="s">
        <v>953</v>
      </c>
      <c r="N269" s="101" t="s">
        <v>371</v>
      </c>
      <c r="O269" s="101">
        <v>1</v>
      </c>
    </row>
    <row r="270" spans="1:17" s="98" customFormat="1" ht="12">
      <c r="A270" s="102" t="s">
        <v>340</v>
      </c>
      <c r="B270" s="99" t="s">
        <v>1031</v>
      </c>
      <c r="C270" s="107">
        <v>905990</v>
      </c>
      <c r="D270" s="99">
        <v>1905990</v>
      </c>
      <c r="E270" s="102" t="s">
        <v>312</v>
      </c>
      <c r="F270" s="103" t="s">
        <v>954</v>
      </c>
      <c r="G270" s="102" t="s">
        <v>406</v>
      </c>
      <c r="H270" s="102"/>
      <c r="I270" s="102"/>
      <c r="J270" s="102"/>
      <c r="K270" s="103"/>
      <c r="L270" s="143">
        <v>9905990</v>
      </c>
      <c r="M270" s="101" t="s">
        <v>312</v>
      </c>
      <c r="N270" s="101" t="s">
        <v>371</v>
      </c>
      <c r="O270" s="101">
        <v>1</v>
      </c>
      <c r="P270" s="98">
        <v>905990</v>
      </c>
      <c r="Q270" s="98">
        <f>IF(C270=P270,1,2)</f>
        <v>1</v>
      </c>
    </row>
    <row r="271" spans="1:17" s="98" customFormat="1" ht="12">
      <c r="A271" s="102" t="s">
        <v>341</v>
      </c>
      <c r="B271" s="99" t="s">
        <v>1032</v>
      </c>
      <c r="C271" s="102">
        <v>906010</v>
      </c>
      <c r="D271" s="99">
        <v>1906010</v>
      </c>
      <c r="E271" s="102" t="s">
        <v>298</v>
      </c>
      <c r="F271" s="103" t="s">
        <v>957</v>
      </c>
      <c r="G271" s="102" t="s">
        <v>395</v>
      </c>
      <c r="H271" s="102"/>
      <c r="I271" s="102"/>
      <c r="J271" s="102"/>
      <c r="K271" s="103"/>
      <c r="L271" s="143">
        <v>1906010</v>
      </c>
      <c r="M271" s="101" t="s">
        <v>298</v>
      </c>
      <c r="N271" s="101" t="s">
        <v>371</v>
      </c>
      <c r="O271" s="101">
        <v>1</v>
      </c>
    </row>
    <row r="272" spans="1:17" s="98" customFormat="1" ht="12">
      <c r="A272" s="102" t="s">
        <v>341</v>
      </c>
      <c r="B272" s="99" t="s">
        <v>1032</v>
      </c>
      <c r="C272" s="102">
        <v>906012</v>
      </c>
      <c r="D272" s="99">
        <v>1906012</v>
      </c>
      <c r="E272" s="102" t="s">
        <v>69</v>
      </c>
      <c r="F272" s="103" t="s">
        <v>958</v>
      </c>
      <c r="G272" s="102" t="s">
        <v>769</v>
      </c>
      <c r="H272" s="102"/>
      <c r="I272" s="102"/>
      <c r="J272" s="102"/>
      <c r="K272" s="103"/>
      <c r="L272" s="143">
        <v>1906012</v>
      </c>
      <c r="M272" s="101" t="s">
        <v>69</v>
      </c>
      <c r="N272" s="101" t="s">
        <v>371</v>
      </c>
      <c r="O272" s="101">
        <v>1</v>
      </c>
    </row>
    <row r="273" spans="1:17" s="98" customFormat="1" ht="12">
      <c r="A273" s="102" t="s">
        <v>341</v>
      </c>
      <c r="B273" s="99" t="s">
        <v>1032</v>
      </c>
      <c r="C273" s="102">
        <v>906013</v>
      </c>
      <c r="D273" s="99">
        <v>1906013</v>
      </c>
      <c r="E273" s="102" t="s">
        <v>299</v>
      </c>
      <c r="F273" s="103" t="s">
        <v>959</v>
      </c>
      <c r="G273" s="102" t="s">
        <v>441</v>
      </c>
      <c r="H273" s="102"/>
      <c r="I273" s="99">
        <v>3906013</v>
      </c>
      <c r="J273" s="102" t="s">
        <v>960</v>
      </c>
      <c r="K273" s="103" t="s">
        <v>959</v>
      </c>
      <c r="L273" s="143">
        <v>1906013</v>
      </c>
      <c r="M273" s="101" t="s">
        <v>299</v>
      </c>
      <c r="N273" s="101" t="s">
        <v>371</v>
      </c>
      <c r="O273" s="101">
        <v>1</v>
      </c>
    </row>
    <row r="274" spans="1:17" s="98" customFormat="1" ht="12">
      <c r="A274" s="102" t="s">
        <v>341</v>
      </c>
      <c r="B274" s="99" t="s">
        <v>1032</v>
      </c>
      <c r="C274" s="102">
        <v>906014</v>
      </c>
      <c r="D274" s="99">
        <v>1906014</v>
      </c>
      <c r="E274" s="102" t="s">
        <v>300</v>
      </c>
      <c r="F274" s="103" t="s">
        <v>961</v>
      </c>
      <c r="G274" s="102" t="s">
        <v>441</v>
      </c>
      <c r="H274" s="102"/>
      <c r="I274" s="102"/>
      <c r="J274" s="102"/>
      <c r="K274" s="103"/>
      <c r="L274" s="143">
        <v>1906014</v>
      </c>
      <c r="M274" s="101" t="s">
        <v>300</v>
      </c>
      <c r="N274" s="101" t="s">
        <v>371</v>
      </c>
      <c r="O274" s="101">
        <v>1</v>
      </c>
    </row>
    <row r="275" spans="1:17" s="98" customFormat="1" ht="12">
      <c r="A275" s="102" t="s">
        <v>342</v>
      </c>
      <c r="B275" s="99" t="s">
        <v>1033</v>
      </c>
      <c r="C275" s="102">
        <v>907002</v>
      </c>
      <c r="D275" s="99">
        <v>1907002</v>
      </c>
      <c r="E275" s="102" t="s">
        <v>302</v>
      </c>
      <c r="F275" s="103" t="s">
        <v>964</v>
      </c>
      <c r="G275" s="102" t="s">
        <v>395</v>
      </c>
      <c r="H275" s="102"/>
      <c r="I275" s="102"/>
      <c r="J275" s="102"/>
      <c r="K275" s="103"/>
      <c r="L275" s="143">
        <v>1907002</v>
      </c>
      <c r="M275" s="101" t="s">
        <v>302</v>
      </c>
      <c r="N275" s="101" t="s">
        <v>371</v>
      </c>
      <c r="O275" s="101">
        <v>1</v>
      </c>
    </row>
    <row r="276" spans="1:17" s="98" customFormat="1" ht="12">
      <c r="A276" s="102" t="s">
        <v>342</v>
      </c>
      <c r="B276" s="99" t="s">
        <v>1033</v>
      </c>
      <c r="C276" s="102">
        <v>907013</v>
      </c>
      <c r="D276" s="99">
        <v>1907013</v>
      </c>
      <c r="E276" s="102" t="s">
        <v>119</v>
      </c>
      <c r="F276" s="103" t="s">
        <v>767</v>
      </c>
      <c r="G276" s="102" t="s">
        <v>395</v>
      </c>
      <c r="H276" s="102"/>
      <c r="I276" s="99">
        <v>3907013</v>
      </c>
      <c r="J276" s="102" t="s">
        <v>966</v>
      </c>
      <c r="K276" s="103" t="s">
        <v>767</v>
      </c>
      <c r="L276" s="143">
        <v>1907013</v>
      </c>
      <c r="M276" s="101" t="s">
        <v>119</v>
      </c>
      <c r="N276" s="101" t="s">
        <v>371</v>
      </c>
      <c r="O276" s="101">
        <v>1</v>
      </c>
    </row>
    <row r="277" spans="1:17" s="98" customFormat="1" ht="12">
      <c r="A277" s="102" t="s">
        <v>342</v>
      </c>
      <c r="B277" s="99" t="s">
        <v>1033</v>
      </c>
      <c r="C277" s="102">
        <v>907025</v>
      </c>
      <c r="D277" s="99">
        <v>1907025</v>
      </c>
      <c r="E277" s="102" t="s">
        <v>318</v>
      </c>
      <c r="F277" s="103" t="s">
        <v>971</v>
      </c>
      <c r="G277" s="102" t="s">
        <v>406</v>
      </c>
      <c r="H277" s="102"/>
      <c r="I277" s="102"/>
      <c r="J277" s="102"/>
      <c r="K277" s="103"/>
      <c r="L277" s="143">
        <v>9907025</v>
      </c>
      <c r="M277" s="101" t="s">
        <v>318</v>
      </c>
      <c r="N277" s="101" t="s">
        <v>371</v>
      </c>
      <c r="O277" s="101">
        <v>1</v>
      </c>
      <c r="P277" s="98">
        <v>907025</v>
      </c>
      <c r="Q277" s="98">
        <f>IF(C277=P277,1,2)</f>
        <v>1</v>
      </c>
    </row>
    <row r="278" spans="1:17" s="98" customFormat="1" ht="12">
      <c r="A278" s="102" t="s">
        <v>343</v>
      </c>
      <c r="B278" s="99" t="s">
        <v>1034</v>
      </c>
      <c r="C278" s="102">
        <v>908006</v>
      </c>
      <c r="D278" s="99"/>
      <c r="E278" s="102"/>
      <c r="F278" s="103"/>
      <c r="G278" s="102"/>
      <c r="H278" s="102"/>
      <c r="I278" s="99">
        <v>3908006</v>
      </c>
      <c r="J278" s="102" t="s">
        <v>972</v>
      </c>
      <c r="K278" s="103" t="s">
        <v>973</v>
      </c>
      <c r="L278" s="143">
        <v>5305065</v>
      </c>
      <c r="M278" s="101" t="s">
        <v>539</v>
      </c>
      <c r="N278" s="101">
        <v>1</v>
      </c>
      <c r="O278" s="101" t="s">
        <v>371</v>
      </c>
    </row>
    <row r="279" spans="1:17" s="98" customFormat="1" ht="12">
      <c r="A279" s="102" t="s">
        <v>343</v>
      </c>
      <c r="B279" s="99" t="s">
        <v>1034</v>
      </c>
      <c r="C279" s="102">
        <v>908008</v>
      </c>
      <c r="D279" s="99"/>
      <c r="E279" s="102"/>
      <c r="F279" s="103"/>
      <c r="G279" s="102"/>
      <c r="H279" s="102"/>
      <c r="I279" s="99">
        <v>3908008</v>
      </c>
      <c r="J279" s="102" t="s">
        <v>974</v>
      </c>
      <c r="K279" s="103" t="s">
        <v>975</v>
      </c>
      <c r="L279" s="145">
        <v>3908008</v>
      </c>
      <c r="M279" s="101" t="s">
        <v>976</v>
      </c>
      <c r="N279" s="101" t="s">
        <v>371</v>
      </c>
      <c r="O279" s="101">
        <v>1</v>
      </c>
    </row>
    <row r="280" spans="1:17" s="98" customFormat="1" ht="12">
      <c r="A280" s="102" t="s">
        <v>343</v>
      </c>
      <c r="B280" s="99" t="s">
        <v>1034</v>
      </c>
      <c r="C280" s="107">
        <v>908990</v>
      </c>
      <c r="D280" s="99">
        <v>1908990</v>
      </c>
      <c r="E280" s="102" t="s">
        <v>977</v>
      </c>
      <c r="F280" s="103" t="s">
        <v>978</v>
      </c>
      <c r="G280" s="102" t="s">
        <v>406</v>
      </c>
      <c r="H280" s="102"/>
      <c r="I280" s="102"/>
      <c r="J280" s="102"/>
      <c r="K280" s="103"/>
      <c r="L280" s="143">
        <v>1901070</v>
      </c>
      <c r="M280" s="101" t="s">
        <v>802</v>
      </c>
      <c r="N280" s="101">
        <v>1</v>
      </c>
      <c r="O280" s="101" t="s">
        <v>371</v>
      </c>
      <c r="P280" s="98">
        <v>901070</v>
      </c>
      <c r="Q280" s="98">
        <f>IF(C280=P280,1,2)</f>
        <v>2</v>
      </c>
    </row>
    <row r="281" spans="1:17" s="98" customFormat="1" ht="12">
      <c r="A281" s="102" t="s">
        <v>343</v>
      </c>
      <c r="B281" s="99" t="s">
        <v>1034</v>
      </c>
      <c r="C281" s="107">
        <v>908991</v>
      </c>
      <c r="D281" s="99">
        <v>1908991</v>
      </c>
      <c r="E281" s="102" t="s">
        <v>979</v>
      </c>
      <c r="F281" s="103" t="s">
        <v>980</v>
      </c>
      <c r="G281" s="102" t="s">
        <v>415</v>
      </c>
      <c r="H281" s="102"/>
      <c r="I281" s="102"/>
      <c r="J281" s="102"/>
      <c r="K281" s="103"/>
      <c r="L281" s="143">
        <v>1305066</v>
      </c>
      <c r="M281" s="101" t="s">
        <v>191</v>
      </c>
      <c r="N281" s="101" t="s">
        <v>371</v>
      </c>
      <c r="O281" s="101">
        <v>1</v>
      </c>
      <c r="P281" s="98">
        <v>305066</v>
      </c>
      <c r="Q281" s="98">
        <f>IF(C281=P281,1,2)</f>
        <v>2</v>
      </c>
    </row>
    <row r="282" spans="1:17" s="98" customFormat="1" ht="12">
      <c r="A282" s="102" t="s">
        <v>1063</v>
      </c>
      <c r="B282" s="99" t="s">
        <v>1034</v>
      </c>
      <c r="C282" s="107">
        <v>908992</v>
      </c>
      <c r="D282" s="99">
        <v>1908992</v>
      </c>
      <c r="E282" s="102" t="s">
        <v>981</v>
      </c>
      <c r="F282" s="103" t="s">
        <v>982</v>
      </c>
      <c r="G282" s="102" t="s">
        <v>453</v>
      </c>
      <c r="H282" s="102"/>
      <c r="I282" s="102"/>
      <c r="J282" s="102"/>
      <c r="K282" s="103"/>
      <c r="L282" s="143">
        <v>9908992</v>
      </c>
      <c r="M282" s="101" t="s">
        <v>320</v>
      </c>
      <c r="N282" s="101" t="s">
        <v>371</v>
      </c>
      <c r="O282" s="101">
        <v>1</v>
      </c>
      <c r="P282" s="98">
        <v>908992</v>
      </c>
      <c r="Q282" s="98">
        <f>IF(C282=P282,1,2)</f>
        <v>1</v>
      </c>
    </row>
    <row r="283" spans="1:17" s="98" customFormat="1" ht="12">
      <c r="A283" s="102" t="s">
        <v>1063</v>
      </c>
      <c r="B283" s="99" t="s">
        <v>1034</v>
      </c>
      <c r="C283" s="107">
        <v>908993</v>
      </c>
      <c r="D283" s="99">
        <v>1908993</v>
      </c>
      <c r="E283" s="102" t="s">
        <v>983</v>
      </c>
      <c r="F283" s="103" t="s">
        <v>984</v>
      </c>
      <c r="G283" s="102" t="s">
        <v>453</v>
      </c>
      <c r="H283" s="102"/>
      <c r="I283" s="102"/>
      <c r="J283" s="102"/>
      <c r="K283" s="103"/>
      <c r="L283" s="143">
        <v>1301026</v>
      </c>
      <c r="M283" s="101" t="s">
        <v>160</v>
      </c>
      <c r="N283" s="101" t="s">
        <v>371</v>
      </c>
      <c r="O283" s="101">
        <v>1</v>
      </c>
      <c r="P283" s="98">
        <v>301026</v>
      </c>
      <c r="Q283" s="98">
        <f>IF(C283=P283,1,2)</f>
        <v>2</v>
      </c>
    </row>
    <row r="284" spans="1:17" s="98" customFormat="1" ht="12">
      <c r="A284" s="102" t="s">
        <v>1063</v>
      </c>
      <c r="B284" s="99" t="s">
        <v>1034</v>
      </c>
      <c r="C284" s="107">
        <v>908994</v>
      </c>
      <c r="D284" s="99">
        <v>1908994</v>
      </c>
      <c r="E284" s="102" t="s">
        <v>985</v>
      </c>
      <c r="F284" s="103" t="s">
        <v>986</v>
      </c>
      <c r="G284" s="102" t="s">
        <v>406</v>
      </c>
      <c r="H284" s="102"/>
      <c r="I284" s="102"/>
      <c r="J284" s="102"/>
      <c r="K284" s="103"/>
      <c r="L284" s="143">
        <v>9908994</v>
      </c>
      <c r="M284" s="101" t="s">
        <v>368</v>
      </c>
      <c r="N284" s="101" t="s">
        <v>371</v>
      </c>
      <c r="O284" s="101">
        <v>1</v>
      </c>
      <c r="P284" s="98">
        <v>908994</v>
      </c>
      <c r="Q284" s="98">
        <f>IF(C284=P284,1,2)</f>
        <v>1</v>
      </c>
    </row>
    <row r="285" spans="1:17" s="98" customFormat="1" ht="12">
      <c r="A285" s="102" t="s">
        <v>343</v>
      </c>
      <c r="B285" s="99" t="s">
        <v>1034</v>
      </c>
      <c r="C285" s="107">
        <v>908996</v>
      </c>
      <c r="D285" s="99">
        <v>1908996</v>
      </c>
      <c r="E285" s="105" t="s">
        <v>1075</v>
      </c>
      <c r="F285" s="106" t="s">
        <v>987</v>
      </c>
      <c r="G285" s="105" t="s">
        <v>395</v>
      </c>
      <c r="H285" s="102"/>
      <c r="I285" s="102"/>
      <c r="J285" s="102"/>
      <c r="K285" s="103"/>
      <c r="L285" s="143">
        <v>1908996</v>
      </c>
      <c r="M285" s="101" t="s">
        <v>988</v>
      </c>
      <c r="N285" s="101" t="s">
        <v>371</v>
      </c>
      <c r="O285" s="101">
        <v>1</v>
      </c>
    </row>
    <row r="286" spans="1:17" s="98" customFormat="1" ht="12">
      <c r="A286" s="102" t="s">
        <v>343</v>
      </c>
      <c r="B286" s="99" t="s">
        <v>1034</v>
      </c>
      <c r="C286" s="107">
        <v>908997</v>
      </c>
      <c r="D286" s="99"/>
      <c r="E286" s="102"/>
      <c r="F286" s="103"/>
      <c r="G286" s="102"/>
      <c r="H286" s="102"/>
      <c r="I286" s="99">
        <v>3908997</v>
      </c>
      <c r="J286" s="105" t="s">
        <v>989</v>
      </c>
      <c r="K286" s="106" t="s">
        <v>990</v>
      </c>
      <c r="L286" s="145">
        <v>3908997</v>
      </c>
      <c r="M286" s="101" t="s">
        <v>991</v>
      </c>
      <c r="N286" s="101" t="s">
        <v>371</v>
      </c>
      <c r="O286" s="101">
        <v>1</v>
      </c>
    </row>
  </sheetData>
  <autoFilter ref="A1:S286" xr:uid="{6161B808-74FE-45AC-BB74-4F00E43F6644}"/>
  <phoneticPr fontId="15"/>
  <dataValidations count="2">
    <dataValidation type="list" allowBlank="1" showInputMessage="1" showErrorMessage="1" sqref="G2:G286" xr:uid="{DD81CE5F-4657-477F-A129-018749AEC3FC}">
      <formula1>"　,全,全・定,全・通,全・定・通,定,定・通,通"</formula1>
    </dataValidation>
    <dataValidation type="list" allowBlank="1" showInputMessage="1" showErrorMessage="1" sqref="A2:A286" xr:uid="{093BC9ED-2003-41A1-863B-13A6645FF2F1}">
      <formula1>"　,北海道,青森,岩手,宮城,秋田,山形,福島,新潟,茨城,栃木,群馬,埼玉,千葉,神奈川,東京,富山,石川,福井,山梨,長野,岐阜,静岡,愛知,三重,滋賀,京都,大阪,兵庫,奈良,和歌山,鳥取,島根,岡山,広島,山口,徳島,香川,愛媛,高知,福岡,佐賀,長崎,熊本,大分,宮崎,鹿児島,沖縄"</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3f44bc-2a92-480b-9842-cd66b3ff782d" xsi:nil="true"/>
    <lcf76f155ced4ddcb4097134ff3c332f xmlns="77eb859c-8ed8-4b29-b3ea-4cf315ee03d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EAA69FFCD54A4CA4B10D2C6F301D04" ma:contentTypeVersion="15" ma:contentTypeDescription="新しいドキュメントを作成します。" ma:contentTypeScope="" ma:versionID="b71d9414a8bdcef6f47e47ee0139a016">
  <xsd:schema xmlns:xsd="http://www.w3.org/2001/XMLSchema" xmlns:xs="http://www.w3.org/2001/XMLSchema" xmlns:p="http://schemas.microsoft.com/office/2006/metadata/properties" xmlns:ns2="77eb859c-8ed8-4b29-b3ea-4cf315ee03db" xmlns:ns3="9b3f44bc-2a92-480b-9842-cd66b3ff782d" targetNamespace="http://schemas.microsoft.com/office/2006/metadata/properties" ma:root="true" ma:fieldsID="312af9fc3b4bb1f4ac664890f44422e1" ns2:_="" ns3:_="">
    <xsd:import namespace="77eb859c-8ed8-4b29-b3ea-4cf315ee03db"/>
    <xsd:import namespace="9b3f44bc-2a92-480b-9842-cd66b3ff782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b859c-8ed8-4b29-b3ea-4cf315ee03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2827c47b-4b8a-4c01-921f-5c3cc2f89e6f"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3f44bc-2a92-480b-9842-cd66b3ff782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96e12ad-2d67-4a92-a623-f6c6c01596a5}" ma:internalName="TaxCatchAll" ma:showField="CatchAllData" ma:web="9b3f44bc-2a92-480b-9842-cd66b3ff782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E28817-68D6-45B2-9E00-6D6A096347EB}">
  <ds:schemaRefs>
    <ds:schemaRef ds:uri="http://schemas.microsoft.com/office/2006/metadata/properties"/>
    <ds:schemaRef ds:uri="http://schemas.microsoft.com/office/infopath/2007/PartnerControls"/>
    <ds:schemaRef ds:uri="9b3f44bc-2a92-480b-9842-cd66b3ff782d"/>
    <ds:schemaRef ds:uri="77eb859c-8ed8-4b29-b3ea-4cf315ee03db"/>
  </ds:schemaRefs>
</ds:datastoreItem>
</file>

<file path=customXml/itemProps2.xml><?xml version="1.0" encoding="utf-8"?>
<ds:datastoreItem xmlns:ds="http://schemas.openxmlformats.org/officeDocument/2006/customXml" ds:itemID="{ED8AC231-1379-49AC-9B0E-F8473CA113DB}">
  <ds:schemaRefs>
    <ds:schemaRef ds:uri="http://schemas.microsoft.com/sharepoint/v3/contenttype/forms"/>
  </ds:schemaRefs>
</ds:datastoreItem>
</file>

<file path=customXml/itemProps3.xml><?xml version="1.0" encoding="utf-8"?>
<ds:datastoreItem xmlns:ds="http://schemas.openxmlformats.org/officeDocument/2006/customXml" ds:itemID="{E8BDB0E4-0D44-4ECF-A1FF-BBC9998AC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b859c-8ed8-4b29-b3ea-4cf315ee03db"/>
    <ds:schemaRef ds:uri="9b3f44bc-2a92-480b-9842-cd66b3ff78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84</vt:i4>
      </vt:variant>
    </vt:vector>
  </HeadingPairs>
  <TitlesOfParts>
    <vt:vector size="89" baseType="lpstr">
      <vt:lpstr>定時制</vt:lpstr>
      <vt:lpstr>通信制</vt:lpstr>
      <vt:lpstr>専攻科</vt:lpstr>
      <vt:lpstr>（後消）専</vt:lpstr>
      <vt:lpstr>(後消)定・通</vt:lpstr>
      <vt:lpstr>専攻科!Print_Area</vt:lpstr>
      <vt:lpstr>通信制!Print_Area</vt:lpstr>
      <vt:lpstr>定時制!Print_Area</vt:lpstr>
      <vt:lpstr>専攻科!愛知県</vt:lpstr>
      <vt:lpstr>愛知県</vt:lpstr>
      <vt:lpstr>専攻科!愛媛県</vt:lpstr>
      <vt:lpstr>愛媛県</vt:lpstr>
      <vt:lpstr>専攻科!茨城県</vt:lpstr>
      <vt:lpstr>茨城県</vt:lpstr>
      <vt:lpstr>専攻科!岡山県</vt:lpstr>
      <vt:lpstr>岡山県</vt:lpstr>
      <vt:lpstr>沖縄県</vt:lpstr>
      <vt:lpstr>専攻科!岩手県</vt:lpstr>
      <vt:lpstr>岩手県</vt:lpstr>
      <vt:lpstr>岐阜県</vt:lpstr>
      <vt:lpstr>専攻科!宮崎県</vt:lpstr>
      <vt:lpstr>宮崎県</vt:lpstr>
      <vt:lpstr>宮城県</vt:lpstr>
      <vt:lpstr>専攻科!京都府</vt:lpstr>
      <vt:lpstr>京都府</vt:lpstr>
      <vt:lpstr>専攻科!熊本県</vt:lpstr>
      <vt:lpstr>熊本県</vt:lpstr>
      <vt:lpstr>群馬県</vt:lpstr>
      <vt:lpstr>専攻科!広島県</vt:lpstr>
      <vt:lpstr>広島県</vt:lpstr>
      <vt:lpstr>専攻科!香川県</vt:lpstr>
      <vt:lpstr>香川県</vt:lpstr>
      <vt:lpstr>専攻科!高知県</vt:lpstr>
      <vt:lpstr>定時制!高知県</vt:lpstr>
      <vt:lpstr>高知県</vt:lpstr>
      <vt:lpstr>専攻科!佐賀県</vt:lpstr>
      <vt:lpstr>佐賀県</vt:lpstr>
      <vt:lpstr>埼玉県</vt:lpstr>
      <vt:lpstr>専攻科!三重県</vt:lpstr>
      <vt:lpstr>三重県</vt:lpstr>
      <vt:lpstr>専攻科!山形県</vt:lpstr>
      <vt:lpstr>山形県</vt:lpstr>
      <vt:lpstr>専攻科!山口県</vt:lpstr>
      <vt:lpstr>山口県</vt:lpstr>
      <vt:lpstr>山梨県</vt:lpstr>
      <vt:lpstr>専攻科!滋賀県</vt:lpstr>
      <vt:lpstr>定時制!滋賀県</vt:lpstr>
      <vt:lpstr>滋賀県</vt:lpstr>
      <vt:lpstr>専攻科!鹿児島県</vt:lpstr>
      <vt:lpstr>鹿児島県</vt:lpstr>
      <vt:lpstr>秋田県</vt:lpstr>
      <vt:lpstr>専攻科!新潟県</vt:lpstr>
      <vt:lpstr>新潟県</vt:lpstr>
      <vt:lpstr>神奈川県</vt:lpstr>
      <vt:lpstr>専攻科!青森県</vt:lpstr>
      <vt:lpstr>青森県</vt:lpstr>
      <vt:lpstr>専攻科!静岡県</vt:lpstr>
      <vt:lpstr>静岡県</vt:lpstr>
      <vt:lpstr>千葉県</vt:lpstr>
      <vt:lpstr>専攻科!大阪府</vt:lpstr>
      <vt:lpstr>大阪府</vt:lpstr>
      <vt:lpstr>専攻科!大分県</vt:lpstr>
      <vt:lpstr>大分県</vt:lpstr>
      <vt:lpstr>専攻科!長崎県</vt:lpstr>
      <vt:lpstr>長崎県</vt:lpstr>
      <vt:lpstr>長野県</vt:lpstr>
      <vt:lpstr>専攻科!鳥取県</vt:lpstr>
      <vt:lpstr>鳥取県</vt:lpstr>
      <vt:lpstr>島根県</vt:lpstr>
      <vt:lpstr>専攻科!東京都</vt:lpstr>
      <vt:lpstr>定時制!東京都</vt:lpstr>
      <vt:lpstr>東京都</vt:lpstr>
      <vt:lpstr>徳島県</vt:lpstr>
      <vt:lpstr>栃木県</vt:lpstr>
      <vt:lpstr>専攻科!奈良県</vt:lpstr>
      <vt:lpstr>定時制!奈良県</vt:lpstr>
      <vt:lpstr>奈良県</vt:lpstr>
      <vt:lpstr>富山県</vt:lpstr>
      <vt:lpstr>専攻科!福井県</vt:lpstr>
      <vt:lpstr>定時制!福井県</vt:lpstr>
      <vt:lpstr>福井県</vt:lpstr>
      <vt:lpstr>専攻科!福岡県</vt:lpstr>
      <vt:lpstr>福岡県</vt:lpstr>
      <vt:lpstr>専攻科!福島県</vt:lpstr>
      <vt:lpstr>福島県</vt:lpstr>
      <vt:lpstr>兵庫県</vt:lpstr>
      <vt:lpstr>定時制!北海道</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中高連　水上 昌代</cp:lastModifiedBy>
  <cp:lastPrinted>2026-05-12T06:39:10Z</cp:lastPrinted>
  <dcterms:created xsi:type="dcterms:W3CDTF">2010-01-04T14:38:51Z</dcterms:created>
  <dcterms:modified xsi:type="dcterms:W3CDTF">2026-05-26T06:28:48Z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0x010100AAEAA69FFCD54A4CA4B10D2C6F301D04</vt:lpwstr>
  </property>
  <property fmtid="{D5CDD505-2E9C-101B-9397-08002B2CF9AE}" pid="3" name="MediaServiceImageTags">
    <vt:lpwstr/>
  </property>
</Properties>
</file>